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activeTab="1"/>
  </bookViews>
  <sheets>
    <sheet name="Форма 12" sheetId="1" r:id="rId1"/>
    <sheet name="Приложение 4" sheetId="2" r:id="rId2"/>
  </sheets>
  <definedNames>
    <definedName name="_xlnm.Print_Titles" localSheetId="0">'Форма 12'!$10:$13</definedName>
    <definedName name="_xlnm.Print_Area" localSheetId="0">'Форма 12'!$A$1:$N$378</definedName>
  </definedNames>
  <calcPr fullCalcOnLoad="1"/>
</workbook>
</file>

<file path=xl/sharedStrings.xml><?xml version="1.0" encoding="utf-8"?>
<sst xmlns="http://schemas.openxmlformats.org/spreadsheetml/2006/main" count="1083" uniqueCount="726">
  <si>
    <t>№п/п</t>
  </si>
  <si>
    <t>Наименование мероприятий инвестиционной программы</t>
  </si>
  <si>
    <t>по г.Алматы</t>
  </si>
  <si>
    <t>Алматинская область</t>
  </si>
  <si>
    <t>Приобретение основных средств и нематериальных активов</t>
  </si>
  <si>
    <t>Реконструкция электрических сетей 10-6/0,4 кВ по Алматинской области с  заменой проводов на СИП</t>
  </si>
  <si>
    <t>Единица измерений</t>
  </si>
  <si>
    <t>Перевод нагрузки ПС-220/110/10кВ №131А «Горный Гигант» на ПС-220/110/10кВ №160А «Ерменсай» по сетям 110кВ с последующим демонтажем ПС-131А</t>
  </si>
  <si>
    <t>Перевод существующих сетей 6 кВ ПС-22А, 50А, 54А, 100А на напряжение 10 кВ от ЛЭП-10 кВ ПС-150А "Алмалы" и от вновь построенных ПС "Медеу" и "Шымбулак"</t>
  </si>
  <si>
    <t>Перевод нагрузки с ПС№19А на вновь построенную ПС "Мамыр"</t>
  </si>
  <si>
    <t>Создание (построение) АСКУЭ</t>
  </si>
  <si>
    <t>Перевод части нагрузок с существующей ПС№4 на вновь построенную ПС 110/10-10 кВ «Алатау»</t>
  </si>
  <si>
    <t>Реконструкция , новое строительство ВЛ-0,4кВ по РЭС-1, РЭС-4, РЭС-5, РЭС-7 с переводом на самонесущий изолированый провод. Строительство и реконструкция существующих ТП для разгрузки перегруженных ТП. Реконструкция не соответствующих эксплуатационным требованиям ТП-6-10/0,4кВ.</t>
  </si>
  <si>
    <t>Нерегулируемая (иная) деятельность</t>
  </si>
  <si>
    <t>Источник финансирования, тыс.тенге</t>
  </si>
  <si>
    <t>Реконструкция ВЛ-110 кВ №102А, 105А, 109А, 120АИ с заменой на композитный провод и заход-выходом ВЛ-110 кВ №120АИ на ПС-220 кВ "Бесагаш"</t>
  </si>
  <si>
    <t>Перевод части нагрузок с существующих ПС-5А, ПС-17А и ПС-132А на вновь построенную ПС110/10 "Отрар"</t>
  </si>
  <si>
    <t>Пуско-наладочные работы по Перевод нагрузки ПС-220/110/10кВ №131А «Горный Гигант» на ПС-220/110/10кВ №160А «Ерменсай» по сетям 110кВ с последующим демонтажем ПС-131А</t>
  </si>
  <si>
    <t>Реконструкция оборудования сетей 6кВ РП-42 и перевод сетей 6кВ РП-42 на повышенное напряжение 10кВ</t>
  </si>
  <si>
    <t>1.1.</t>
  </si>
  <si>
    <t>1.2.</t>
  </si>
  <si>
    <t>1.3.</t>
  </si>
  <si>
    <t>Капитальный ремонт распределительных сетей и оборудования</t>
  </si>
  <si>
    <t>2.1.</t>
  </si>
  <si>
    <t>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РЭС-1</t>
  </si>
  <si>
    <t xml:space="preserve">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РЭС-6 </t>
  </si>
  <si>
    <t>«Строительство ПС 110/10 кВ «Кокозек» с присоединением к ОРУ-110 кВ ПС 220 кВ «Каскелен» Карасайского района Алматинской области</t>
  </si>
  <si>
    <t>Капитализированные проценты</t>
  </si>
  <si>
    <t>3.1.</t>
  </si>
  <si>
    <t>Разработка ПСД "Реконструкция электрических сетей 10/0,4кВ РЭС "Отеген батыр"</t>
  </si>
  <si>
    <t xml:space="preserve"> Восстановление внутриплощадочной автодороги </t>
  </si>
  <si>
    <t>Монтаж Шкафа СМВКС ПТС-1000 с оборудованием системы температурного мониторинга высоковольтных кабельных сетей</t>
  </si>
  <si>
    <t xml:space="preserve"> Монтаж синхронизатора Telecom GNSS Clock Equipped в комплекте с антенной GLONASS+GPS engine</t>
  </si>
  <si>
    <t>компл.</t>
  </si>
  <si>
    <t>м2</t>
  </si>
  <si>
    <t>1.4.</t>
  </si>
  <si>
    <t>Счетчик электроэнергии Альфа-1805 RL-Р4G-DW4</t>
  </si>
  <si>
    <t>шт</t>
  </si>
  <si>
    <t>Наладка мультиплексора FОХ 615</t>
  </si>
  <si>
    <t>1.5.</t>
  </si>
  <si>
    <t>1.6.</t>
  </si>
  <si>
    <t>Прокладка кабеля ВОЛС: от ПС-220/110/10-10 №160А"Ерменсай№ до места врезки КЛ-110 кВ №110А,111А, и до ПС-63А(Участок 1,2,3)</t>
  </si>
  <si>
    <t>км</t>
  </si>
  <si>
    <t>1.7.</t>
  </si>
  <si>
    <t xml:space="preserve"> Вскрытие и восстановление дорожных покрытий </t>
  </si>
  <si>
    <t>Монтаж ограничителя перенапряжения 110кВ BOW-РСА310 8L5E2M4</t>
  </si>
  <si>
    <t>Монтаж устройства для подключения экранов кабеля к контуру заземления ЕРРА-055-0/3</t>
  </si>
  <si>
    <t>Подвеска кабеля оптического ОКК-0,22-2425 кН</t>
  </si>
  <si>
    <t>1.8.</t>
  </si>
  <si>
    <t>1.9.</t>
  </si>
  <si>
    <t>1.10.</t>
  </si>
  <si>
    <t>Пожарная сигнализация</t>
  </si>
  <si>
    <t>1.11.</t>
  </si>
  <si>
    <t>1.12.</t>
  </si>
  <si>
    <t>Освещение ЗРУ-110,ЗРУ-220 кВ</t>
  </si>
  <si>
    <t>Заземление ЗРУ-110 кВ</t>
  </si>
  <si>
    <t>Монтаж комплектного распределительного устройства 8DN8-5 с элегазовой изоляцией</t>
  </si>
  <si>
    <t xml:space="preserve">Работы по демонтажу ОРУ -110 кВ </t>
  </si>
  <si>
    <t xml:space="preserve">Работы по демонтажу ОРУ -220 кВ </t>
  </si>
  <si>
    <t>1.13.</t>
  </si>
  <si>
    <t>1.14.</t>
  </si>
  <si>
    <t>1.15.</t>
  </si>
  <si>
    <t>1.16.</t>
  </si>
  <si>
    <t>1.17.</t>
  </si>
  <si>
    <t xml:space="preserve">Прокладка кабеля 10 кВ NA2XS (F) 2Y-KZ </t>
  </si>
  <si>
    <t>Реконструкция РП</t>
  </si>
  <si>
    <t>8.1.</t>
  </si>
  <si>
    <t>8.2.</t>
  </si>
  <si>
    <t>8.3.</t>
  </si>
  <si>
    <t>8.4.</t>
  </si>
  <si>
    <t>10.1.</t>
  </si>
  <si>
    <t>11.1.</t>
  </si>
  <si>
    <t>11.2.</t>
  </si>
  <si>
    <t>11.3.</t>
  </si>
  <si>
    <t>14.1.</t>
  </si>
  <si>
    <t xml:space="preserve">Приобретение и монтаж КТПБ </t>
  </si>
  <si>
    <t>15.1.</t>
  </si>
  <si>
    <t>15.2.</t>
  </si>
  <si>
    <t>17.1.</t>
  </si>
  <si>
    <t>17.2.</t>
  </si>
  <si>
    <t>ПСД</t>
  </si>
  <si>
    <t>25.1.</t>
  </si>
  <si>
    <t>25.2.</t>
  </si>
  <si>
    <t>25.3.</t>
  </si>
  <si>
    <t>Расширение существующей системы диспетчеризации ATI SCADA</t>
  </si>
  <si>
    <t>Пуско-наладочные работы по реконструкции ВЛ-110 кВ №102А, 105А, 109А, 120АИ с заменой на композитный провод и заход-выходом ВЛ-110 кВ №120АИ на ПС-220 кВ "Бесагаш"</t>
  </si>
  <si>
    <t>шт.</t>
  </si>
  <si>
    <t>Приобретение трехполюсного элегазового колонкового выключателя 110 кВ</t>
  </si>
  <si>
    <t>Приобретение разъединителя трехполюсного 110 кВ</t>
  </si>
  <si>
    <t>Приобретение оборудования ТП 10-0,4кВ</t>
  </si>
  <si>
    <t>Приобретение оборудования системы телемеханики на ТП</t>
  </si>
  <si>
    <t>Приобретение КТП</t>
  </si>
  <si>
    <t>Строительно-монтажные работы по реконструкции ТП</t>
  </si>
  <si>
    <t>Строительно-монтажные работы системы телемеханики на ТП</t>
  </si>
  <si>
    <t>Строительно-монтажные работы по реконструкции РП</t>
  </si>
  <si>
    <t>Строительно-монтажные работы по замене ТП</t>
  </si>
  <si>
    <t>Строительно-монтажные работы системы телемеханики на РП</t>
  </si>
  <si>
    <t>Строительно-монтажные работы системы телемеханики на ПС</t>
  </si>
  <si>
    <t>Приобретение и реконструкция  оборудования РП-42</t>
  </si>
  <si>
    <t xml:space="preserve">Приобретение кабеля 10 кВ </t>
  </si>
  <si>
    <t>Приобретение оборудования  ПС5А</t>
  </si>
  <si>
    <t xml:space="preserve">Приобретение оборудования ТП </t>
  </si>
  <si>
    <t xml:space="preserve">Приобретение оборудования  РП </t>
  </si>
  <si>
    <t>Приобретение муфт</t>
  </si>
  <si>
    <t xml:space="preserve">Закуп оборудования для системы телемеханики ТМ УТМ-64М </t>
  </si>
  <si>
    <t>компл</t>
  </si>
  <si>
    <t xml:space="preserve">Приобретение и монтаж кабеля АСБ 10 кВ </t>
  </si>
  <si>
    <t>Приобретение и монтаж муфт</t>
  </si>
  <si>
    <t>Приобретение и монтаж оборудования для реконструкции ТП</t>
  </si>
  <si>
    <t>работы</t>
  </si>
  <si>
    <t>Строительно-монтажные работы по подвеске композитного провода  АСCC Copenhagen 230 и линейно-подвесной арматуры на ВЛ-110 кВ №120АИ, №105А, 109А</t>
  </si>
  <si>
    <t>Приобретение и монтаж трансформаторов  тока 110кВ элегазовый ТОГФ-110</t>
  </si>
  <si>
    <t xml:space="preserve">Монтаж кабеля 10 кВ </t>
  </si>
  <si>
    <t>Приобретение и монтаж разъединителя трехполюсного РГ-2</t>
  </si>
  <si>
    <t>Приобретение и монтаж разъединителя трехполюсный РГ-1</t>
  </si>
  <si>
    <t>Приобретение и монтаж анкерно-угловой опоры УС-110</t>
  </si>
  <si>
    <t>Приобретение и монтаж промежуточной опоры ПБ-110</t>
  </si>
  <si>
    <t>комплект</t>
  </si>
  <si>
    <t xml:space="preserve">Приобретение и монтаж элегазового выключатель ВГТ-110III-40/3150У1 </t>
  </si>
  <si>
    <t>Приобретение и монтаж приборов учета</t>
  </si>
  <si>
    <t>Приобретение КТПН</t>
  </si>
  <si>
    <t xml:space="preserve">Приобретение ТП </t>
  </si>
  <si>
    <t>Приобретение и монтаж оборудования системы телемеханики</t>
  </si>
  <si>
    <t xml:space="preserve">Приобретение и прокладка КЛ 10 кВ </t>
  </si>
  <si>
    <t>Монтаж трансформатора ТДСН 16000/110-10 кВ</t>
  </si>
  <si>
    <t xml:space="preserve">Прокладка кабеля 10 кВ </t>
  </si>
  <si>
    <t>Монтаж муфт</t>
  </si>
  <si>
    <t xml:space="preserve">Реконструкция ТП 6кВ </t>
  </si>
  <si>
    <t>Пуско-наладочные работы</t>
  </si>
  <si>
    <t xml:space="preserve">Реконструкция РУ-10кВ </t>
  </si>
  <si>
    <t>Реконструкция ТП</t>
  </si>
  <si>
    <t xml:space="preserve">Реконструкция РУ-6кВ </t>
  </si>
  <si>
    <t>Замена КТПН</t>
  </si>
  <si>
    <t>Подвеска провода</t>
  </si>
  <si>
    <t>Демонтаж деревянных опор</t>
  </si>
  <si>
    <t>Установка ж/б опор</t>
  </si>
  <si>
    <t>Прокладка кабеля 10 кВ</t>
  </si>
  <si>
    <t>Строительно-монтажные работы по монтажу КТП</t>
  </si>
  <si>
    <t>Строительно-монтажные работы по монтажу ТМГ</t>
  </si>
  <si>
    <t>Проект инвестиционной программы на 2020 год</t>
  </si>
  <si>
    <t>ВСЕГО на 2020 год</t>
  </si>
  <si>
    <t>3.2.</t>
  </si>
  <si>
    <t>3.3.</t>
  </si>
  <si>
    <t>Разработка ПСД Перевод сетей 6 кВ коммунально-бытовых потребителей на напряжение 10 кВ, Строительство ТП для разгрузки перегруженных ТП и РП, реконструкция существующих ТП  и РП, КЛ и ВЛ с заменой проводов на СИП с прохождением экспертизы проектов</t>
  </si>
  <si>
    <t>Разработка ПСД "Прокладка КЛ-10кВ "ПС-151А - ТП-1203"</t>
  </si>
  <si>
    <t>Проведение комплексной вневедомственной экспертизы по рабочему проекту "Прокладка КЛ-10кВ "ПС-151А - ТП-1203"</t>
  </si>
  <si>
    <t>Разработка ПСД "Строительство 2 КЛ-10 кВ от разных секций ПС-119А на РП-183 с установкой в/в ячейки на ПС-119А и РП-183"</t>
  </si>
  <si>
    <t>Проведение комплексной вневедомственной экспертизы по рабочему проекту "Строительство 2 КЛ-10 кВ от разных секций ПС-119А на РП-183 с установкой в/в ячейки на ПС-119А и РП-183"</t>
  </si>
  <si>
    <t>Разработка ПСД "Перевод нагрузки с ф.9 ПС-127 на проектируемый РП со строительством 2 КЛ-10 кВ от ПС-171"</t>
  </si>
  <si>
    <t>Проведение комплексной вневедомственной экспертизы по рабочему проекту "Перевод нагрузки с ф.9 ПС-127 на проектируемый РП со строительством 2 КЛ-10 кВ от ПС-171"</t>
  </si>
  <si>
    <t>Разработка ПСД "Прокладка 2КЛ-10кВ путем врезки в существующий КЛ-6кВ "ф.36-1А-РП-41" до ТП-2391"</t>
  </si>
  <si>
    <t>Проведение комплексной вневедомственной экспертизы по рабочему проекту "Прокладка 2КЛ-10кВ путем врезки в существующий КЛ-6кВ "ф.36-1А-РП-41" до ТП-2391"</t>
  </si>
  <si>
    <t>Разработка ПСД "Прокладка КЛ-10кВ от ПС-151А "Райымбек" до РП-41 с.2"</t>
  </si>
  <si>
    <t>Проведение комплексной вневедомственной экспертизы по рабочему проекту "Прокладка КЛ-10кВ от ПС-151А "Райымбек" до РП-41 с.2"</t>
  </si>
  <si>
    <t>Разработка ПСД "Прокладка КЛ-10кВ: "РП24-оп.№1 ВЛ-6кВ ТП-5041"</t>
  </si>
  <si>
    <t>Проведение комплексной вневедомственной экспертизы по рабочему проекту "Прокладка КЛ-10кВ: "РП24-оп.№1 ВЛ-6кВ ТП-5041"</t>
  </si>
  <si>
    <t>Разработка ПСД "Схема надежного электроснабжения ТП-2077 "БСМП" (потребитель 1 категории)</t>
  </si>
  <si>
    <t>Проведение комплексной вневедомственной экспертизы по рабочему проекту "Схема надежного электроснабжения ТП-2077 "БСМП" (потребитель 1 категории)</t>
  </si>
  <si>
    <t>Корректировка ПСД «Реконструкция и новое строительство электрических сетей 10-6-0,4 кВ по РЭС-2, замена перегруженных и отработавших нормативный срок КЛ для повышения надежности электроснабжения»</t>
  </si>
  <si>
    <t>Проведение комплексной вневедомственной экспертизы по рабочему проекту «Реконструкция и новое строительство электрических сетей 10-6-0,4 кВ по РЭС-2, замена перегруженных и отработавших нормативный срок КЛ для повышения надежности электроснабжения»</t>
  </si>
  <si>
    <t>Корректировка ПСД «Реконструкция и новое строительство электрических сетей 10-6-0,4 кВ по РЭС-4, замена перегруженных и отработавших нормативный срок КЛ для повышения надежности электроснабжения»</t>
  </si>
  <si>
    <t>Проведение комплексной вневедомственной экспертизы по рабочему проекту «Реконструкция и новое строительство электрических сетей 10-6-0,4 кВ по РЭС-4, замена перегруженных и отработавших нормативный срок КЛ для повышения надежности электроснабжения»</t>
  </si>
  <si>
    <t>Разработка ПСД «Реконструкция и новое строительство электрических сетей 6-10 кВ по РЭС-1, РЭС-2, РЭС-4, РЭС-5, РЭС-6, РЭС-7 замена перегруженных и отработавших нормативный срок КЛ для повышения надежности электроснабжения»</t>
  </si>
  <si>
    <t>Разработка ПСД «Перевод электрических сетей 6 кВ РП-42 на повышенное напряжение 10 кВ. Замена существующих КЛ»</t>
  </si>
  <si>
    <t>Проведение комплексной вневедомственной экспертизы по рабочему проекту  «Перевод электрических сетей 6 кВ РП-42 на повышенное напряжение 10 кВ. Замена существующих КЛ»</t>
  </si>
  <si>
    <t>Разработка ПСД «Перевод электрических сетей 6 кВ РП-48, РП-49 и ТП-001 на повышенное напряжение 10 кВ. Замена оборудования и прокладка новых КЛ-10 кВ»</t>
  </si>
  <si>
    <t>Проведение комплексной вневедомственной экспертизы по рабочему проекту  «Перевод электрических сетей 6 кВ РП-48, РП-49 и ТП-001 на повышенное напряжение 10 кВ. Замена оборудования и прокладка новых КЛ-10 кВ»</t>
  </si>
  <si>
    <t>Корректировка ПСД "Перевод части нагрузок с существующих ПС-5А, ПС-17А, ПС-132А на вновь построенную ПС-110/10кВ "Отрар"</t>
  </si>
  <si>
    <t>Проведение комплексной вневедомственной экспертизы по рабочему проекту  "Перевод части нагрузок с существующих ПС-5А, ПС-17А, ПС-132А на вновь построенную ПС-110/10кВ "Отрар"</t>
  </si>
  <si>
    <t>Проведение комплексной вневедомственной экспертизы по рабочему проекту "Реконструкция ПС-220/110/10 кВ №7А "АХБК"</t>
  </si>
  <si>
    <t>4.1.</t>
  </si>
  <si>
    <t>4.2.</t>
  </si>
  <si>
    <t>4.3.</t>
  </si>
  <si>
    <t>4.4.</t>
  </si>
  <si>
    <t>4.5.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</si>
  <si>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</si>
  <si>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</si>
  <si>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</si>
  <si>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</si>
  <si>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</si>
  <si>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</si>
  <si>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</si>
  <si>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</si>
  <si>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Экспертиза</t>
  </si>
  <si>
    <t>ПСД
Экспертиза</t>
  </si>
  <si>
    <t>5.1.</t>
  </si>
  <si>
    <t>5.2.</t>
  </si>
  <si>
    <t>5.3.</t>
  </si>
  <si>
    <t>5.4.</t>
  </si>
  <si>
    <t>7.1.</t>
  </si>
  <si>
    <t>7.2.</t>
  </si>
  <si>
    <t>7.3.</t>
  </si>
  <si>
    <t>7.4.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</si>
  <si>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</si>
  <si>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</si>
  <si>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</si>
  <si>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</si>
  <si>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</si>
  <si>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</si>
  <si>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</si>
  <si>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</si>
  <si>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9.1.</t>
  </si>
  <si>
    <t>9.2.</t>
  </si>
  <si>
    <t>10.2.</t>
  </si>
  <si>
    <t>10.3.</t>
  </si>
  <si>
    <t>10.4.</t>
  </si>
  <si>
    <t>10.5.</t>
  </si>
  <si>
    <t>10.6.</t>
  </si>
  <si>
    <t>10.7.</t>
  </si>
  <si>
    <t>10.8.</t>
  </si>
  <si>
    <t>11.4.</t>
  </si>
  <si>
    <t>11.5.</t>
  </si>
  <si>
    <t>13.1.</t>
  </si>
  <si>
    <t xml:space="preserve">Разработка ПСД автоматизированной системы коммерческого учета электроэнергии ПС областных РЭС и РП города, и расширению существующих систем диспетчеризации с установкой систем телемеханики и связи в ЖРЭС, ТРЭС АО «АЖК» </t>
  </si>
  <si>
    <t xml:space="preserve">Проведение комплексной вневедомственной экспертизы по рабочему проекту Автоматизированные системы коммерческого учета электроэнергии ПС областных РЭС и РП города, и расширению существующих систем диспетчеризации с установкой систем телемеханики и связи в ЖРЭС, ТРЭС АО «АЖК» </t>
  </si>
  <si>
    <t>16.1.</t>
  </si>
  <si>
    <t>16.2.</t>
  </si>
  <si>
    <t>16.3.</t>
  </si>
  <si>
    <t>16.4.</t>
  </si>
  <si>
    <t>16.5.</t>
  </si>
  <si>
    <t>16.6.</t>
  </si>
  <si>
    <t>17.3.</t>
  </si>
  <si>
    <t>17.4.</t>
  </si>
  <si>
    <t>17.5.</t>
  </si>
  <si>
    <t>17.6.</t>
  </si>
  <si>
    <t>17.7.</t>
  </si>
  <si>
    <t>18.1.</t>
  </si>
  <si>
    <t>19.1.</t>
  </si>
  <si>
    <t>19.2.</t>
  </si>
  <si>
    <t>19.3.</t>
  </si>
  <si>
    <t>19.4.</t>
  </si>
  <si>
    <t>Разработка ПСД Реконструкция КЛ-35 кВ от ПС№65А"Ремстройтехника" до опоры №2 ПС 36А "Мраморный з-д"</t>
  </si>
  <si>
    <t>Проведение комплексной вневедомственной экспертизы по рабочему проекту Реконструкция КЛ-35 кВ от ПС№65А"Ремстройтехника" до опоры №2 ПС 36А "Мраморный з-д"</t>
  </si>
  <si>
    <t>ПНР</t>
  </si>
  <si>
    <t>Корректировка ПСД "Строительство "ПС 110/10/6 кВ "Турксиб"</t>
  </si>
  <si>
    <t>Проведение комплексной вневедомственной экспертизы по рабочему проекту "Строительство "ПС 110/10/6 кВ "Турксиб"</t>
  </si>
  <si>
    <t>Разработка ПСД Реконструкция  ПС 110/10кВ №119А "Новозападная"</t>
  </si>
  <si>
    <t>Проведение комплексной вневедомственной экспертизы по рабочему проекту  Реконструкция  ПС 110/10кВ №119А "Новозападная"</t>
  </si>
  <si>
    <t xml:space="preserve">Разработка ПСД "Реконструкция ПС 110 кВ №46А "Шоссейная" с заменой трансформаторов на 2х63МВА с КРУН-10кВ" </t>
  </si>
  <si>
    <t xml:space="preserve">Проведение комплексной вневедомственной экспертизы по рабочему проекту "Реконструкция ПС 110 кВ №46А "Шоссейная" с заменой трансформаторов на 2х63МВА с КРУН-10кВ" </t>
  </si>
  <si>
    <t>Корректировка ПСД «Модернизация систем безопасности зданий и прилегающих к ним территорий (Манаса 24Б, Розыбакиева 6)</t>
  </si>
  <si>
    <t>Проведение комплексной вневедомственной экспертизы по рабочему проекту  «Модернизация систем безопасности зданий и прилегающих к ним территорий (Манаса 24Б, Розыбакиева 6)</t>
  </si>
  <si>
    <t>Разработка ПСД реконструкция электрических сетей 10-6/0,4кВ по Алматинской области с заменой проводов на СИП</t>
  </si>
  <si>
    <t>Проведение комплексной вневедомственной экспертизы по рабочему проекту "Реконструкция электрических сетей 10/0,4кВ РЭС "Отеген батыр"</t>
  </si>
  <si>
    <t>Разработка ПСД "Реконструкция электрических сетей 6-10/0,4кВ Карасайского РЭС"</t>
  </si>
  <si>
    <t>Проведение комплексной вневедомственной экспертизы по рабочему проекту "Реконструкция электрических сетей 6-10/0,4кВ Карасайского РЭС"</t>
  </si>
  <si>
    <t>Разработка ПСД "Реконструкция электрических сетей 6-10/0,4кВ Талгарского РЭС"</t>
  </si>
  <si>
    <t>Проведение комплексной вневедомственной экспертизы по рабочему проекту "Реконструкция электрических сетей 6-10/0,4кВ Талгарского РЭС"</t>
  </si>
  <si>
    <t>Разработка ПСД «Реконструкция и строительство распределительных сетей 35-10-6-0,4кВ по Алматинской области со строительством РП-10кВ и ВЛ-10кВ в Карасайском районе Алматинской области»</t>
  </si>
  <si>
    <t>Проведение комплексной вневедомственной экспертизы по рабочему проекту «Реконструкция и строительство распределительных сетей 35-10-6-0,4кВ по Алматинской области со строительством РП-10кВ и ВЛ-10кВ в Карасайском районе Алматинской области»</t>
  </si>
  <si>
    <t>25.4.</t>
  </si>
  <si>
    <t>26.1.</t>
  </si>
  <si>
    <t>26.2.</t>
  </si>
  <si>
    <t>26.3.</t>
  </si>
  <si>
    <t>26.4.</t>
  </si>
  <si>
    <t>Корректировка ПСД «Строительство ПС 110/10 кВ «Кокозек» с присоединением к ОРУ-110 кВ ПС 220 кВ «Каскелен» Карасайского района Алматинской области</t>
  </si>
  <si>
    <t>Проведение комплексной вневедомственной экспертизы по рабочему проекту «Строительство ПС 110/10 кВ «Кокозек» с присоединением к ОРУ-110 кВ ПС 220 кВ «Каскелен» Карасайского района Алматинской области</t>
  </si>
  <si>
    <t>28.1.</t>
  </si>
  <si>
    <t>28.2.</t>
  </si>
  <si>
    <t>28.3.</t>
  </si>
  <si>
    <t>Изготовление землеустроительного проекта на земельные участки по опорами ЛЭП-110кВ "Кокозек" с присоединением к ОРУ-10кВ ПС 220кВ "Каскелен"</t>
  </si>
  <si>
    <t>Услуги по выполнению топографической съемки трассы ВЛ-110кВ ПС "Каскелен" -ПС "Кокозек", протяженностью 16 км, с проведением геологических и геодезических изысканий.</t>
  </si>
  <si>
    <t xml:space="preserve">Корректировка ПСД «Строительство двух ЛЭП-110 кВ ПС 220/110/10 кВ «Каскелен» - ПС 110/35/10 кВ № 94А «Северный Каскелен», с отпайкой к  ПС 110/10 кВ № 27А «Каскелен» </t>
  </si>
  <si>
    <t xml:space="preserve">Проведение комплексной вневедомственной экспертизы по рабочему проекту «Строительство двух ЛЭП-110 кВ ПС 220/110/10 кВ «Каскелен» - ПС 110/35/10 кВ № 94А «Северный Каскелен», с отпайкой к  ПС 110/10 кВ № 27А «Каскелен» </t>
  </si>
  <si>
    <t>проект</t>
  </si>
  <si>
    <t>Топосъемка</t>
  </si>
  <si>
    <t>Ремонт ВЛ-10 кВ Ф-31-47 мкр.Курылысшы, ул.Кокорай РЭС-1</t>
  </si>
  <si>
    <t>Ремонт ВЛ-6кВ ПС-65-ТП-4336 ф.6-65 Алатауский р-н РЭС-4</t>
  </si>
  <si>
    <t>Ремонт ВЛ-6-10кВ ф.42-157 Высокогорный трамплин по пр-ту РЭС-5</t>
  </si>
  <si>
    <t>ВЛ-10кВ Ф.4-84И  с.Чарын, совм. Подвес с ВЛ-0,4кВ УРЭС</t>
  </si>
  <si>
    <t xml:space="preserve">ВЛ-10кВ Ф.16-70И с.Чунджа УРЭС </t>
  </si>
  <si>
    <t>ВЛ-10кВ Ф. 5-81А с. Жидели БРЭС</t>
  </si>
  <si>
    <t>ВЛ-10кВ Ф.19-77  с.Жармухамбет,Исаево КРЭС</t>
  </si>
  <si>
    <t>ВЛ-10кВ Ф.8-39 за ЛР-11 с.Маловодное ЕРЭС</t>
  </si>
  <si>
    <t>ВЛ-10кВ Ф.9-28, с.Каргалы, совм. Подвес с ВЛ-0,4кВ ЖРЭС</t>
  </si>
  <si>
    <t>Ремонт ВЛ-0,4 кВ "Юг"  от ТП-1317 мкр.Айгерим-1, ул.Садовая/Бенберина РЭС-1</t>
  </si>
  <si>
    <t xml:space="preserve">Ремонт ВЛ-0,4 кВ "Запад"  от ТП-1317 мкр.Айгерим-1, ул.Бенберина РЭС-1                 </t>
  </si>
  <si>
    <t>Ремонт ВЛ-0,4 кВ "Юг"  от ТП-1319 мкр.Айгерим-1, ул.Бенберина/Новая РЭС-1</t>
  </si>
  <si>
    <t>Ремонт ВЛ-0,4кв   ТП-3704 мкр.Алгабас РЭС-3</t>
  </si>
  <si>
    <t>Ремонт ВЛ-0,4кв  ТП-3002 мкр.Акжар РЭС-3</t>
  </si>
  <si>
    <t>Ремонт ВЛ-0,4кв  ТП-3308 мкр.Карагайлы РЭС-3</t>
  </si>
  <si>
    <t>ВЛ-0,4кВ от ТП- 112 с.Чапаево ОбРЭС</t>
  </si>
  <si>
    <t>ВЛ-0,4 от ТП 145  с Косозен ОБРЭС</t>
  </si>
  <si>
    <t>ВЛ-0,4кВ от ТП- 412 с.Тлендиев ОбРЭС</t>
  </si>
  <si>
    <t>ВЛ-0,4 от ТП 496  с Байсерке ОБРЭС</t>
  </si>
  <si>
    <t>ВЛ-0,4кВ ф.2 от ТП- 840 с Жидели БРЭС</t>
  </si>
  <si>
    <t>ВЛ-0,4кВ ф.1 от ТП- 841 с. Жидели БРЭС</t>
  </si>
  <si>
    <t>ВЛ-0,4кВ от ТП- 1111,с. Туздыбастау ТРЭС</t>
  </si>
  <si>
    <t>ВЛ-0,4кВ от ТП- 1000, с. Туздыбастау ТРЭС</t>
  </si>
  <si>
    <t>ВЛ-0,4кВ от ТП- 505, с. Гульдала ТРЭС</t>
  </si>
  <si>
    <t>ВЛ-0,4кВ от ТП- 674, г.Каскелен КРЭС</t>
  </si>
  <si>
    <t>ВЛ-0,4кВ от ТП- 267, с.Куляши КРЭС</t>
  </si>
  <si>
    <t>ВЛ-0,4кВ от ТП- 1085, с.Бекболат КРЭС</t>
  </si>
  <si>
    <t>ВЛ-0,4кВ от ТП- 2325 вых.1, г.Капшагай Ил.РЭС</t>
  </si>
  <si>
    <t>ВЛ-0,4кВ от ТП- 174, с.Байтерек ЕРЭС</t>
  </si>
  <si>
    <t>ВЛ-0,4кВ от ТП- 106, с.Тургень ЕРЭС</t>
  </si>
  <si>
    <t>ВЛ-0,4кВ от ТП- 331, с.Тескенсу ШРЭС</t>
  </si>
  <si>
    <t xml:space="preserve">ВЛ-0,4кВ от ТП- 79, с.Шелек ШРЭС </t>
  </si>
  <si>
    <t>Ремонт КЛ-6кВ ТП-6061-ТП-6062 ул.Илийская, Кутузова, Добролюбова РЭС-6</t>
  </si>
  <si>
    <t>Ремонт КЛ-0,4кВ ТП-2377 -кя1-кя2-кя3-кя4, ТП-2377-кя8-кя7 ул.Абая/Байтурсынова РЭС-2</t>
  </si>
  <si>
    <t>Ремонт КЛ-0,4кВ ТП-2377 кя4-кя5  ул.Абая/Байтурсынова РЭС-2</t>
  </si>
  <si>
    <t>Ремонт КЛ-0,4кВ ТП-4419: кя № 605, 606, 607, 608, 609, 610, 611, 612, 613,614, 615, 616, 617, 618, 619, 620 621,622, 623, 625, 626, 627 пр. Суюнбая, 263 РЭС-4</t>
  </si>
  <si>
    <t>Ремонт КЛ-0,4кВ ТП-5021-к/я-8, к/я-12 ул.Р.Корсакова РЭС-5</t>
  </si>
  <si>
    <t>Ремонт КЛ-0,4кВ ТП-5290 к/я-44, к/я44-к/я43, к/я36, к/я36-к/я39 пос.Баганашыл, сов.АлаТау РЭС-5</t>
  </si>
  <si>
    <t>КЛ-0,4кВ ТП-5123 к/я-6,  к/я3- к/я-4, к/я4- к/я-5 ул.Сатпаева-уг.ул.Наурызбаева РЭС-5</t>
  </si>
  <si>
    <t>Ремонт КЛ-0,4кВ ТП-5158 к/я3, к/я3- к/я-4 ул. Р.Корсакова РЭС-5</t>
  </si>
  <si>
    <t>Ремонт КЛ-0,4кВ ТП-5063 к/я246, к/я246-246а мкр.Алмагуль(ю-з) ул.Овчарова-Жарокова РЭС-5</t>
  </si>
  <si>
    <t>Ремонт КЛ-0,4кВ ТП-7338 м-н Аксай 3а РЭС-7</t>
  </si>
  <si>
    <t>Ремонт КЛ-0,4кВ ТП-7559 мкр.10а РЭС-7</t>
  </si>
  <si>
    <t>Ремонт железнодорожного пути стрелочного перевода №241 УМТО</t>
  </si>
  <si>
    <t>Ремонт КЛ-10 кВ ТП- 6434-ТП-6454, ТП-6220-ТП-6217, ТП-6247-ТП-6251 РЭС-6</t>
  </si>
  <si>
    <t>ВЛ-35кВ № 74И, Шырганак-Жаланаш РРЭС</t>
  </si>
  <si>
    <t>ВЛ-10кВ ф-1-77И Жаланаш РРЭС</t>
  </si>
  <si>
    <t>Комплект</t>
  </si>
  <si>
    <t>Штука</t>
  </si>
  <si>
    <t xml:space="preserve"> Штука</t>
  </si>
  <si>
    <t>работа</t>
  </si>
  <si>
    <t>Преобразователь оптический</t>
  </si>
  <si>
    <t xml:space="preserve">Агрегат выпрямительный </t>
  </si>
  <si>
    <t xml:space="preserve">Электротехническая лаборатория </t>
  </si>
  <si>
    <t>Источник бесперебойного питания (USB), 26.20.40.00.00.00.41.20.1</t>
  </si>
  <si>
    <t>Аккумуляторные батареи на 600 А*часов</t>
  </si>
  <si>
    <t>Программное обеспечение Autodesk AutoCad LT 2019</t>
  </si>
  <si>
    <t>CoreIDraw Graphics Suite 2018</t>
  </si>
  <si>
    <t xml:space="preserve">Лицензия, Программный антивирусный продукт. </t>
  </si>
  <si>
    <t xml:space="preserve">Лицензия, Программный Антиспам комплексная защита </t>
  </si>
  <si>
    <t>Оборудование волоконно-оптической линии связи</t>
  </si>
  <si>
    <t xml:space="preserve">Агрегат сварочный </t>
  </si>
  <si>
    <t>Комплекс испытательный, для релейной защиты и автоматики</t>
  </si>
  <si>
    <t>Клещи токоизмерительные  UT-208</t>
  </si>
  <si>
    <t>Клещи токоизмерительные  до 10кВ</t>
  </si>
  <si>
    <t>Измеритель сопротивления заземляющих устройств</t>
  </si>
  <si>
    <t>Робот-тренажер для обучения персонала приемам реанимации,  32.50.50.07.00.00.01.01.1</t>
  </si>
  <si>
    <t xml:space="preserve">Угловая шлифмашина (болгарка) </t>
  </si>
  <si>
    <t>Набор ключей накидные</t>
  </si>
  <si>
    <t>Ножницы кабельные</t>
  </si>
  <si>
    <t>Инструмент специализированный для удаления
экструдированного слоя</t>
  </si>
  <si>
    <t>Ящик пожарный металлический</t>
  </si>
  <si>
    <t xml:space="preserve">Палатка </t>
  </si>
  <si>
    <t>Блок системный</t>
  </si>
  <si>
    <t>Монитор LCD</t>
  </si>
  <si>
    <t>Принтер лазерный Ч\Б А4</t>
  </si>
  <si>
    <t>Принтер лазерный цветной А4</t>
  </si>
  <si>
    <t>КМА (машина копировальная)</t>
  </si>
  <si>
    <t>Сканер А4 с автоподачей</t>
  </si>
  <si>
    <t>Многофункциональное устройство</t>
  </si>
  <si>
    <t>Сервер</t>
  </si>
  <si>
    <t>Экран проекционный (моторизованный экран) 2х1,5м</t>
  </si>
  <si>
    <t xml:space="preserve">Компьютер персональный - процессор (64-bit, 4 ядра, количество потоков 8, базовая тактовая частота процессора 4,2GHz) / RAM16Gb / HDD 2Tb / Видеокарта встроенная HD / DVD+-RW / Sound / LAN1Gb / MS Windows 10 Professional 64bit Russian / Kлавиатура R/E/K/M / Mouse / LCD Monitor 27" </t>
  </si>
  <si>
    <t xml:space="preserve">Кресло </t>
  </si>
  <si>
    <t xml:space="preserve">Шкаф - гардероб широкий 2-х дверный </t>
  </si>
  <si>
    <t>Лебедка ручная  рычажная ЛР- 3м</t>
  </si>
  <si>
    <t>Таль ручная  рычажная ТРШР 0,75т 3м</t>
  </si>
  <si>
    <t>Урна пластиковая. Цвет: черный/ серый/ коричневый</t>
  </si>
  <si>
    <r>
      <t>Бензиновый электрогенератор         (</t>
    </r>
    <r>
      <rPr>
        <sz val="11"/>
        <rFont val="Times New Roman"/>
        <family val="1"/>
      </rPr>
      <t>Электро генератор бензиновый  7,8 кВт - по СГЗ)</t>
    </r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</si>
  <si>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</si>
  <si>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</si>
  <si>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</si>
  <si>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</si>
  <si>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</si>
  <si>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</si>
  <si>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</si>
  <si>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</si>
  <si>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</si>
  <si>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</si>
  <si>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</si>
  <si>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</si>
  <si>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</si>
  <si>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</si>
  <si>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</si>
  <si>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</si>
  <si>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</si>
  <si>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</si>
  <si>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34.19</t>
  </si>
  <si>
    <t>34.20</t>
  </si>
  <si>
    <t>34.21</t>
  </si>
  <si>
    <t>34.22</t>
  </si>
  <si>
    <t>34.23</t>
  </si>
  <si>
    <t>34.24</t>
  </si>
  <si>
    <t>34.25</t>
  </si>
  <si>
    <t>34.26</t>
  </si>
  <si>
    <t>34.27</t>
  </si>
  <si>
    <t>34.28</t>
  </si>
  <si>
    <t>34.29</t>
  </si>
  <si>
    <t>34.30</t>
  </si>
  <si>
    <t>34.31</t>
  </si>
  <si>
    <t>34.32</t>
  </si>
  <si>
    <t>34.33</t>
  </si>
  <si>
    <t>34.34</t>
  </si>
  <si>
    <t>34.35</t>
  </si>
  <si>
    <t>34.36</t>
  </si>
  <si>
    <t>34.37</t>
  </si>
  <si>
    <t>34.38</t>
  </si>
  <si>
    <t>34.39</t>
  </si>
  <si>
    <t>34.40</t>
  </si>
  <si>
    <t>34.41</t>
  </si>
  <si>
    <t>34.42</t>
  </si>
  <si>
    <t>34.43</t>
  </si>
  <si>
    <t>34.44</t>
  </si>
  <si>
    <t>34.45</t>
  </si>
  <si>
    <t>34.46</t>
  </si>
  <si>
    <t>34.47</t>
  </si>
  <si>
    <t>34.48</t>
  </si>
  <si>
    <t>34.49</t>
  </si>
  <si>
    <t>34.50</t>
  </si>
  <si>
    <t>34.51</t>
  </si>
  <si>
    <t>34.52</t>
  </si>
  <si>
    <t>34.53</t>
  </si>
  <si>
    <t>34.54</t>
  </si>
  <si>
    <t>34.55</t>
  </si>
  <si>
    <t>34.56</t>
  </si>
  <si>
    <t>34.57</t>
  </si>
  <si>
    <t>34.58</t>
  </si>
  <si>
    <t>34.59</t>
  </si>
  <si>
    <t>34.60</t>
  </si>
  <si>
    <t>34.61</t>
  </si>
  <si>
    <t>34.62</t>
  </si>
  <si>
    <t>34.63</t>
  </si>
  <si>
    <t>34.64</t>
  </si>
  <si>
    <t>34.65</t>
  </si>
  <si>
    <t>34.66</t>
  </si>
  <si>
    <t>34.67</t>
  </si>
  <si>
    <t>34.68</t>
  </si>
  <si>
    <t>34.69</t>
  </si>
  <si>
    <t>34.70</t>
  </si>
  <si>
    <t>34.71</t>
  </si>
  <si>
    <t>34.72</t>
  </si>
  <si>
    <t>34.73</t>
  </si>
  <si>
    <t>Лазерный дальномер</t>
  </si>
  <si>
    <t>4.6.</t>
  </si>
  <si>
    <t>Разработка ПСД "Развитие Шелекского энергоузла"</t>
  </si>
  <si>
    <t>Выключатель реклоузер 10 кВ</t>
  </si>
  <si>
    <t>Выключатель вакуумный AVL-1200 1000А</t>
  </si>
  <si>
    <t>Выключатель вакуумный BB/TEL-10-20/1000-У2-047</t>
  </si>
  <si>
    <t>Выключатель вакуумный BB/TEL-10-20/1000-У2-061</t>
  </si>
  <si>
    <t>Выключатель вакуумный BВ/TEL-10-20/630-У2</t>
  </si>
  <si>
    <t>Выключатель вакуумный 35/1000 SMART-35 применение на подстанции(Rec 35-Smart 1-Sub7)</t>
  </si>
  <si>
    <t>Выключатель нагрузки ВНР-10/630-10зУ3</t>
  </si>
  <si>
    <t>Выключатель нагрузки ВНРп-10/400-10зп с предохранителями и ножами заземления расположенными за предохранителями снизу выключателя</t>
  </si>
  <si>
    <t>Выключатель нагрузки с заземляющими ножами (нижн. располож.), ВНР-10/400</t>
  </si>
  <si>
    <t>Выключатель нагрузки автогазовый ВНА-10/630-20У2</t>
  </si>
  <si>
    <t>Заградитель высокочастотный, ВЗ-400-0,5-40 УХЛ1</t>
  </si>
  <si>
    <t>Заградитель высокочастотный, ВЗ-630-0,5-40 УХЛ1</t>
  </si>
  <si>
    <t>Модуль управления TER-CM-16-2(220-1) для вакуумного выключателя BB/TEL-10</t>
  </si>
  <si>
    <t>Ограничитель перенапряжений 110кВ, ОПНп-110/77/10/2-УХЛ1</t>
  </si>
  <si>
    <t>Ограничитель перенапряжений, ОПН-У-35/40,5-2 УХЛ1</t>
  </si>
  <si>
    <t>Ограничитель перенапряжения ОПН-6 УХЛ-1 с полимерной внешней изоляцией</t>
  </si>
  <si>
    <t>Ограничитель перенапряжения ОПНп-10 УХЛ1</t>
  </si>
  <si>
    <t>Трансформатор напряжения 3хЗНОЛП-10кВ с литой изоляцией, с двумя вторичными обмотками</t>
  </si>
  <si>
    <t>Трансформатор напряжения НТМИ-10</t>
  </si>
  <si>
    <t>Трансформатор силовой ТМ-25 мощьность 25 кВа 10 кВ</t>
  </si>
  <si>
    <t>Траснформатор напряжения НТМИ-6</t>
  </si>
  <si>
    <t>Аккуммуляторная батарея U-2,0 B, емкость 300Ач, ток к.з - 6494А, внуиреннее сопротивление 0,317мОм,108 элемент</t>
  </si>
  <si>
    <t>Вводно-распределительное устройство ВРУ1-М-21-29-20</t>
  </si>
  <si>
    <t>Прибор для измерения показателей качества и учета электрической энергии PM130 PLUS</t>
  </si>
  <si>
    <t>Коммуникационный контроллер  Синком-ДК</t>
  </si>
  <si>
    <t>Конденсатор связи СМАПВ-110/ √3-6,4 УХЛ 1 Ех</t>
  </si>
  <si>
    <t>Конденсатор связи СМАПВ-66/√3-4,4 УХЛ1 Ех</t>
  </si>
  <si>
    <t>Модем УПСТМ 0,2 (в корпусе)</t>
  </si>
  <si>
    <t>Модуль ввода/вывода МДВВ ОВЕН</t>
  </si>
  <si>
    <t>Модуль связи ТИТ-430У для телемеханика</t>
  </si>
  <si>
    <t>Коммуникационный контроллер Синком Д3</t>
  </si>
  <si>
    <t>Процессор многоядерный, Socket LGA 1150</t>
  </si>
  <si>
    <t>Процессор многоядерный, Socket LGA 1155</t>
  </si>
  <si>
    <t>Термосигнализатор ТКП-160СГ-М-2  L-6 м</t>
  </si>
  <si>
    <t>Вольтамперметр Ц4311</t>
  </si>
  <si>
    <t>Микропроцессорное реле максимального тока серии РС80 АВРМ 21ДС</t>
  </si>
  <si>
    <t>Реле защиты РС83-А2.0</t>
  </si>
  <si>
    <t>Трансформатор тока Т-0,66 У3 300/5</t>
  </si>
  <si>
    <t>Трансформатор тока Т-0,66 У3 400/5</t>
  </si>
  <si>
    <t>Трансформатор тока Т-0,66 У3 600/5</t>
  </si>
  <si>
    <t>Трансформатор тока ТОЛ-10/0.5S/10P-100/5</t>
  </si>
  <si>
    <t>Трансформатор тока ТОЛ-10/0.5S/10P-150/5</t>
  </si>
  <si>
    <t>Трансформатор тока ТОЛ-10/0.5S/10P-200/5</t>
  </si>
  <si>
    <t>Прибор Digiphone Plus, параметр-значение, индикация-цветной ЖКД, 320х240 Pixel, безопасность-акустич,ограничение до 84 dB(A), Усиление +120dB, Питание-6хLR6 щелочных батарей</t>
  </si>
  <si>
    <t>Термосигнализатор ТКП-160Сг М-3  L-6 м</t>
  </si>
  <si>
    <t>Регистратор Терминал сбора информации и регистрации аварийных событий типа ЭКРА 232</t>
  </si>
  <si>
    <t>Устройство промышленное Siemens LOGO 230RC</t>
  </si>
  <si>
    <t>Модем OnCell G3150A-LTE-EU-T</t>
  </si>
  <si>
    <t>Устройство защиты защита от однофазных замыканий на землю Геум-К</t>
  </si>
  <si>
    <t>Ворота металлические утепленные 3600х3000 мм, металл толщиной 2 мм</t>
  </si>
  <si>
    <t>Ворота металлические утепленные 3600х3800 мм, металл толщиной 2 мм, с колиткой</t>
  </si>
  <si>
    <t>Амперметр цифровой амперметр предназначен для измерения силы тока в электрических сетях</t>
  </si>
  <si>
    <t>Вольтметр цифровой вольтметр предназначен для измерения силы тока в электрических сетях</t>
  </si>
  <si>
    <t>Элегазовый выключатель на напряжение 110 кВ, Выключатель оснащается пружинным приводом ППрК.</t>
  </si>
  <si>
    <t>Преобразователь измерительный Satec 133+DIOR 12 ЭНИП-2-45/100-220-А3Е4-21 преобразователь измерительный многофункциональный</t>
  </si>
  <si>
    <t>Модем Многофункциональный роутер IRZ RUH2</t>
  </si>
  <si>
    <t>Устройство защиты РЗТ-413</t>
  </si>
  <si>
    <t>Блок ремонтный Плата на 16 внутренних аналоговых абонентов для ЦАТС S1000 OESTS-16</t>
  </si>
  <si>
    <t>Блок ремонтный Плата на 16 внутренних цифровых абонентов для ЦАТС S1000 UESTD-16</t>
  </si>
  <si>
    <t>Блок ремонтный Плата соединительных линий на 8 портов для ЦАТС S1000 CESTL-8</t>
  </si>
  <si>
    <t xml:space="preserve"> Трансформатор тока ТЗРЛ-150 нулевой последовательности</t>
  </si>
  <si>
    <t>Коммутатор сетевой EMS3508 DC</t>
  </si>
  <si>
    <t>Плата специальная модуль CMSTM для РРЛ Iskra Sparkwave SDR</t>
  </si>
  <si>
    <t>Плата специальная модуль RM-350 для РРЛ Iskra Sparkwave SDR</t>
  </si>
  <si>
    <t>Выключатель вакуумный на выкатной элемент ячейки К-6</t>
  </si>
  <si>
    <t>Автомобиль специализированный (автогидроподъемник)</t>
  </si>
  <si>
    <t>Электросчетчики электронные трехфазные прямого включения САР4У-Э720-ТХР РLC IP U=3*220/380В, Iном=5(60)А</t>
  </si>
  <si>
    <t xml:space="preserve">Электросчетчики электронные трехфазныеДала. САР4У -Э720-ТХР PLC IP   U=3*220/380В,  Iном=5 (7,5)А </t>
  </si>
  <si>
    <t xml:space="preserve">Электросчетчик трехфазный прямого включения "Дала" САР4-Э721 ТХ Р PLC U=3*220/380В,  I=10 (100)А </t>
  </si>
  <si>
    <t>Выключатель элегазовый BГТ-110</t>
  </si>
  <si>
    <t>Трансформатор силовой ТМ-250/10</t>
  </si>
  <si>
    <t>Трансформатор силовой ТМ-400/10</t>
  </si>
  <si>
    <t>Трансформатор силовой ТМ-630/10</t>
  </si>
  <si>
    <t>Элемент питания 3, 12В. АКБ: EB-B120CBE, емкость батареи: 2050 м/Ач и выше</t>
  </si>
  <si>
    <t>Элемент питания 3, 12В. АКБ: EB464358VU, емкость батареи 1300 мА/ч и выше</t>
  </si>
  <si>
    <t>Элемент питания 3, 12В. АКБ: NBL-43A2300, емкость батареи: 2300 м/Ач и выше</t>
  </si>
  <si>
    <t>Аккумуляторные батареи МАРАТОН 155 А/h</t>
  </si>
  <si>
    <t>Бензопила Stihl MS 361. Мощность 3400Вт.</t>
  </si>
  <si>
    <t xml:space="preserve">трансформатор тока  Т-0,66У3 800/5 </t>
  </si>
  <si>
    <t xml:space="preserve">трансформатор тока Т-0,66У3 1500/5 </t>
  </si>
  <si>
    <t xml:space="preserve">трансформатор тока Т-0,66У3 2000/5 </t>
  </si>
  <si>
    <t xml:space="preserve">трансформатор тока Т-0,66У3 3000/5 </t>
  </si>
  <si>
    <t>Огнетушитель углекислотный ОУ-5</t>
  </si>
  <si>
    <t>Огнетушитель углекислотный ОУ-2</t>
  </si>
  <si>
    <t>Огнетушитель углекислотный ОУ-7</t>
  </si>
  <si>
    <t>Огнетушитель углекислотный ОУ-25</t>
  </si>
  <si>
    <t>Огнетушитель углекислотный ОУ-55</t>
  </si>
  <si>
    <t>Перевод сетей 6 кВ на напряжение 10 кВ на ПС №6А, ПС №3А (ПС №168А). 1-ый этап (Замена оборудования 6/0,4 кВ на 10/0,4 кВ в ТП-6/0,4 кВ, замена существующих КТП-6/0,4 кВ на  КТПН-10/0,4 кВ, замена силового оборудования в существующих ТП-6/0,4 кВ, телемеханика для ТП, КТП, КТПБ)</t>
  </si>
  <si>
    <t>Приобретение трансформаторов для перевода сетей 6 кВ на напряжение 10 кВ на ПС №6А, ПС №3А (ПС №168А) в рамках проекта  Перевод сетей 6 кВ на напряжение 10 кВ на ПС №6А, ПС №3А (ПС №168А). 1-ый этап</t>
  </si>
  <si>
    <t xml:space="preserve">Перевод сетей 6 кВ на напряжение 10 кВ на ПС №6А, ПС №3А (ПС №168А). 2-ый этап (Приобретение и прокладка КЛ 10 кВ) </t>
  </si>
  <si>
    <t>Приобретение одной клиентскиой лицензий на 150 пользователей для расширения ОИК "ATI SCADA" на ДП ОДС</t>
  </si>
  <si>
    <t>Приобретение трансформаторов в рамках проекта Перевод части нагрузок с существующих ПС-5А, ПС-17А и ПС-132А на вновь построенную ПС110/10 "Отрар"</t>
  </si>
  <si>
    <t>Приобретение одной лицензии на 68 000 телепараметров для расширения "ATI SCADA" на ДП ОДС</t>
  </si>
  <si>
    <t>Приобретение Трансформатора тока 110 кВ</t>
  </si>
  <si>
    <t>м2
компл.
шт.</t>
  </si>
  <si>
    <t>217,05
5
26</t>
  </si>
  <si>
    <t xml:space="preserve">Пуско-наладочные работы </t>
  </si>
  <si>
    <t>шт
км</t>
  </si>
  <si>
    <t>107
46,94</t>
  </si>
  <si>
    <t>компл.
Шт.
км</t>
  </si>
  <si>
    <t>251
19
140,514</t>
  </si>
  <si>
    <t>3
17
3,43</t>
  </si>
  <si>
    <t>2
6
2,43</t>
  </si>
  <si>
    <t>3
3,511</t>
  </si>
  <si>
    <t>компл
шт
км</t>
  </si>
  <si>
    <t>8
3933
154,5</t>
  </si>
  <si>
    <t>1
1</t>
  </si>
  <si>
    <t>1495
157,814</t>
  </si>
  <si>
    <t xml:space="preserve">компл
шт </t>
  </si>
  <si>
    <t>1
18</t>
  </si>
  <si>
    <t>ПСД
экспертиза</t>
  </si>
  <si>
    <t>4
4</t>
  </si>
  <si>
    <t>компл
шт</t>
  </si>
  <si>
    <t>22
2176</t>
  </si>
  <si>
    <t>80
1074</t>
  </si>
  <si>
    <t>Перфоратор электрический Bosch GBH 2-28 Professional</t>
  </si>
  <si>
    <t>Дрель модель Fubag DRS 1800 Вт</t>
  </si>
  <si>
    <t>Дрель электрическая 600 Вт</t>
  </si>
  <si>
    <t>Набор отверток диэлектрических</t>
  </si>
  <si>
    <t>Инструменты  для монтажа СИП с прессом механическим ВК-1</t>
  </si>
  <si>
    <t>Набор инструментов монтажника электрика</t>
  </si>
  <si>
    <t>Бензопила Stihl MS 180. М. Мощность 1500Вт.</t>
  </si>
  <si>
    <t>Прибор по локализации электромагнитных и акустических сигналов для поиска пробоя на силовых кабелях</t>
  </si>
  <si>
    <t xml:space="preserve">Лицензия Microsofte Windoows 10 </t>
  </si>
  <si>
    <t>Лицензия Microsofte Office</t>
  </si>
  <si>
    <t>Лицензия Traffic Inspector Unlimited</t>
  </si>
  <si>
    <t>Лицензия, Kerio Control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</si>
  <si>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</si>
  <si>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</si>
  <si>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</si>
  <si>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</si>
  <si>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</si>
  <si>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</si>
  <si>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</si>
  <si>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</si>
  <si>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</si>
  <si>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33.10</t>
  </si>
  <si>
    <t>33.11</t>
  </si>
  <si>
    <t>33.12</t>
  </si>
  <si>
    <t>33.13</t>
  </si>
  <si>
    <t>33.14</t>
  </si>
  <si>
    <t>33.15</t>
  </si>
  <si>
    <t>33.16</t>
  </si>
  <si>
    <t>33.17</t>
  </si>
  <si>
    <t>33.18</t>
  </si>
  <si>
    <t>33.19</t>
  </si>
  <si>
    <t>33.20</t>
  </si>
  <si>
    <t>33.21</t>
  </si>
  <si>
    <t>33.22</t>
  </si>
  <si>
    <t>33.23</t>
  </si>
  <si>
    <t>33.24</t>
  </si>
  <si>
    <t>33.25</t>
  </si>
  <si>
    <t>33.26</t>
  </si>
  <si>
    <t>33.27</t>
  </si>
  <si>
    <t>33.28</t>
  </si>
  <si>
    <t>33.29</t>
  </si>
  <si>
    <t>33.30</t>
  </si>
  <si>
    <t>33.31</t>
  </si>
  <si>
    <t>33.32</t>
  </si>
  <si>
    <t>33.33</t>
  </si>
  <si>
    <t>33.34</t>
  </si>
  <si>
    <t>33.35</t>
  </si>
  <si>
    <t>33.36</t>
  </si>
  <si>
    <t>33.37</t>
  </si>
  <si>
    <t>33.38</t>
  </si>
  <si>
    <t>33.39</t>
  </si>
  <si>
    <t>33.40</t>
  </si>
  <si>
    <t>33.41</t>
  </si>
  <si>
    <t>33.42</t>
  </si>
  <si>
    <t>33.43</t>
  </si>
  <si>
    <t>33.44</t>
  </si>
  <si>
    <t>33.45</t>
  </si>
  <si>
    <t>33.46</t>
  </si>
  <si>
    <t>33.47</t>
  </si>
  <si>
    <t>33.48</t>
  </si>
  <si>
    <t>33.49</t>
  </si>
  <si>
    <t>33.50</t>
  </si>
  <si>
    <t>33.51</t>
  </si>
  <si>
    <t>33.52</t>
  </si>
  <si>
    <t>33.53</t>
  </si>
  <si>
    <t>33.54</t>
  </si>
  <si>
    <t>33.55</t>
  </si>
  <si>
    <t>33.56</t>
  </si>
  <si>
    <t>33.57</t>
  </si>
  <si>
    <t>33.58</t>
  </si>
  <si>
    <t>33.59</t>
  </si>
  <si>
    <t>33.60</t>
  </si>
  <si>
    <t>33.61</t>
  </si>
  <si>
    <t>33.62</t>
  </si>
  <si>
    <t>33.63</t>
  </si>
  <si>
    <t>33.64</t>
  </si>
  <si>
    <t>33.65</t>
  </si>
  <si>
    <t>33.66</t>
  </si>
  <si>
    <t>33.67</t>
  </si>
  <si>
    <t>33.68</t>
  </si>
  <si>
    <t>33.69</t>
  </si>
  <si>
    <t>33.70</t>
  </si>
  <si>
    <t>33.71</t>
  </si>
  <si>
    <t>33.72</t>
  </si>
  <si>
    <t>33.73</t>
  </si>
  <si>
    <t>33.74</t>
  </si>
  <si>
    <t>33.75</t>
  </si>
  <si>
    <t>33.76</t>
  </si>
  <si>
    <t>33.77</t>
  </si>
  <si>
    <t>33.78</t>
  </si>
  <si>
    <t>33.79</t>
  </si>
  <si>
    <t>33.80</t>
  </si>
  <si>
    <t>33.81</t>
  </si>
  <si>
    <t>33.82</t>
  </si>
  <si>
    <t>33.83</t>
  </si>
  <si>
    <t>33.84</t>
  </si>
  <si>
    <t>33.85</t>
  </si>
  <si>
    <t>33.86</t>
  </si>
  <si>
    <t>33.87</t>
  </si>
  <si>
    <t>33.88</t>
  </si>
  <si>
    <t>33.89</t>
  </si>
  <si>
    <t>33.90</t>
  </si>
  <si>
    <t>33.91</t>
  </si>
  <si>
    <t>33.92</t>
  </si>
  <si>
    <t>33.93</t>
  </si>
  <si>
    <t>33.94</t>
  </si>
  <si>
    <t>33.95</t>
  </si>
  <si>
    <t>33.96</t>
  </si>
  <si>
    <t>33.97</t>
  </si>
  <si>
    <t>33.98</t>
  </si>
  <si>
    <t>33.99</t>
  </si>
  <si>
    <t>33.100</t>
  </si>
  <si>
    <t>33.101</t>
  </si>
  <si>
    <t>33.102</t>
  </si>
  <si>
    <t>33.103</t>
  </si>
  <si>
    <t>33.104</t>
  </si>
  <si>
    <t>33.105</t>
  </si>
  <si>
    <t>33.106</t>
  </si>
  <si>
    <t>33.107</t>
  </si>
  <si>
    <t>33.108</t>
  </si>
  <si>
    <t>33.109</t>
  </si>
  <si>
    <t>33.110</t>
  </si>
  <si>
    <t>33.111</t>
  </si>
  <si>
    <t>33.112</t>
  </si>
  <si>
    <t>Количество в натуральных показателях</t>
  </si>
  <si>
    <t>план</t>
  </si>
  <si>
    <t>факт</t>
  </si>
  <si>
    <t>Сумма инвестиционной программы (проекты), тыс. тенге</t>
  </si>
  <si>
    <t>собственные средства</t>
  </si>
  <si>
    <t>заемные средства</t>
  </si>
  <si>
    <t>бюджетные средства</t>
  </si>
  <si>
    <r>
      <t>Показатели эффективности, надежности и качества</t>
    </r>
    <r>
      <rPr>
        <b/>
        <vertAlign val="superscript"/>
        <sz val="12"/>
        <color indexed="8"/>
        <rFont val="Times New Roman"/>
        <family val="1"/>
      </rPr>
      <t>2</t>
    </r>
  </si>
  <si>
    <t>план 2020 год</t>
  </si>
  <si>
    <t>* 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</si>
  <si>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___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</si>
  <si>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</si>
  <si>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</si>
  <si>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 xml:space="preserve">факт                                                         
за 4 кв. 2019 года
</t>
  </si>
  <si>
    <t xml:space="preserve">факт                                                         
за 4 кв. 2020 года
</t>
  </si>
  <si>
    <t>Ноутбук - процессор</t>
  </si>
  <si>
    <t>Диспенсер,для воды,напольный,с холодильником</t>
  </si>
  <si>
    <t>Кондиционер (сплитсистема), настенный, площадь охлаждения до 50 кв.м</t>
  </si>
  <si>
    <t>Магнитно маркерная доска 120х240 двухсторонняя-маркерная и меловая</t>
  </si>
  <si>
    <t>Тоннель дезинфицирующий</t>
  </si>
  <si>
    <t>34.74</t>
  </si>
  <si>
    <t>34.75</t>
  </si>
  <si>
    <t>34.76</t>
  </si>
  <si>
    <t>34.77</t>
  </si>
  <si>
    <t>34.78</t>
  </si>
  <si>
    <t>Трансформатор напряжения трехобмоточный, класс напряжения 10, 3х3НОЛП-10</t>
  </si>
  <si>
    <t>Трансформатор напряжения ЗНОМ-35-УХ1</t>
  </si>
  <si>
    <t>Информация субъекта естественной монополии</t>
  </si>
  <si>
    <t>АО "Алатау Жарық Компаниясы"</t>
  </si>
  <si>
    <t>(наименование субъекта)</t>
  </si>
  <si>
    <t>передача и распределение электрической энергии</t>
  </si>
  <si>
    <t>(вид деятельности)</t>
  </si>
  <si>
    <t>Информация о реализации инвестиционной программы (проекта) в разрезе источников финансирования, тыс. тенге</t>
  </si>
  <si>
    <t>о ходе исполнения субъектом инвестиционной программы за 4 квартала 2020 года</t>
  </si>
  <si>
    <t>13
9</t>
  </si>
  <si>
    <t>849
24,676</t>
  </si>
  <si>
    <t>91
16,4</t>
  </si>
  <si>
    <t>Монтаж шкафа двухстороннего обслуживания 8МF 2400х900х800 ШЗА1113002211</t>
  </si>
  <si>
    <t>215,81
5
26</t>
  </si>
  <si>
    <t>9
19
74,47</t>
  </si>
  <si>
    <t>Приобретение кабеля АПвПУ 1х500/70</t>
  </si>
  <si>
    <t>8.5.</t>
  </si>
  <si>
    <t xml:space="preserve">Приобретение кабеля АСБ 10 кВ </t>
  </si>
  <si>
    <t>4
0,9493</t>
  </si>
  <si>
    <t xml:space="preserve">Приобретение муфт </t>
  </si>
  <si>
    <t>Приобретение кабеля АСБ-10-3х70мм2</t>
  </si>
  <si>
    <t>Шкаф ЭСК ЦППС</t>
  </si>
  <si>
    <t>11.6.</t>
  </si>
  <si>
    <t>11.7.</t>
  </si>
  <si>
    <t>11.8.</t>
  </si>
  <si>
    <t>238
166
1,44</t>
  </si>
  <si>
    <t>компл
шт.
км</t>
  </si>
  <si>
    <t>1
14</t>
  </si>
  <si>
    <t>80
1078</t>
  </si>
  <si>
    <t>13
13</t>
  </si>
  <si>
    <t>2
17
7,696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</si>
</sst>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_р_._-;\-* #,##0_р_._-;_-* &quot;-&quot;_р_._-;_-@_-"/>
    <numFmt numFmtId="167" formatCode="_-* #,##0.00_р_._-;\-* #,##0.00_р_._-;_-* &quot;-&quot;??_р_._-;_-@_-"/>
    <numFmt numFmtId="168" formatCode="_-* #,##0_р_._-;\-* #,##0_р_._-;_-* &quot;-&quot;??_р_._-;_-@_-"/>
    <numFmt numFmtId="169" formatCode="#,##0_р_."/>
    <numFmt numFmtId="170" formatCode="#,##0.0000"/>
    <numFmt numFmtId="171" formatCode="#,##0.000"/>
    <numFmt numFmtId="172" formatCode="#,##0.0"/>
    <numFmt numFmtId="173" formatCode="_-* #,##0.0_р_._-;\-* #,##0.0_р_._-;_-* &quot;-&quot;??_р_._-;_-@_-"/>
    <numFmt numFmtId="174" formatCode="_-* #,##0\ _₽_-;\-* #,##0\ _₽_-;_-* &quot;-&quot;??\ _₽_-;_-@_-"/>
    <numFmt numFmtId="175" formatCode="_-* #,##0.00_-;\-* #,##0.00_-;_-* &quot;-&quot;??_-;_-@_-"/>
    <numFmt numFmtId="176" formatCode="_(* #,##0_);_(* \(#,##0\);_(* &quot;-&quot;??_);_(@_)"/>
    <numFmt numFmtId="177" formatCode="_-* #,##0.000_р_._-;\-* #,##0.000_р_._-;_-* &quot;-&quot;??_р_._-;_-@_-"/>
    <numFmt numFmtId="178" formatCode="_-* #,##0.000\ _₽_-;\-* #,##0.000\ _₽_-;_-* &quot;-&quot;???\ _₽_-;_-@_-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.00000\ _₽_-;\-* #,##0.00000\ _₽_-;_-* &quot;-&quot;?????\ _₽_-;_-@_-"/>
    <numFmt numFmtId="182" formatCode="_-* #,##0.0000\ _₽_-;\-* #,##0.0000\ _₽_-;_-* &quot;-&quot;???\ _₽_-;_-@_-"/>
    <numFmt numFmtId="183" formatCode="0.0%"/>
    <numFmt numFmtId="184" formatCode="0.0000"/>
    <numFmt numFmtId="185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2"/>
      <name val="Arial Cyr"/>
      <family val="2"/>
    </font>
    <font>
      <b/>
      <vertAlign val="superscript"/>
      <sz val="12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 horizontal="left" vertical="top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vertical="center"/>
    </xf>
    <xf numFmtId="168" fontId="4" fillId="0" borderId="10" xfId="56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0" fontId="59" fillId="0" borderId="0" xfId="0" applyFont="1" applyFill="1" applyAlignment="1">
      <alignment/>
    </xf>
    <xf numFmtId="0" fontId="7" fillId="0" borderId="0" xfId="0" applyFont="1" applyFill="1" applyAlignment="1">
      <alignment/>
    </xf>
    <xf numFmtId="168" fontId="4" fillId="0" borderId="11" xfId="56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/>
    </xf>
    <xf numFmtId="181" fontId="4" fillId="0" borderId="0" xfId="0" applyNumberFormat="1" applyFont="1" applyFill="1" applyAlignment="1">
      <alignment/>
    </xf>
    <xf numFmtId="0" fontId="59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68" fontId="4" fillId="0" borderId="14" xfId="56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167" fontId="4" fillId="0" borderId="16" xfId="69" applyNumberFormat="1" applyFont="1" applyFill="1" applyBorder="1" applyAlignment="1">
      <alignment horizontal="center" vertical="center"/>
    </xf>
    <xf numFmtId="168" fontId="4" fillId="0" borderId="10" xfId="56" applyNumberFormat="1" applyFont="1" applyFill="1" applyBorder="1" applyAlignment="1" applyProtection="1">
      <alignment vertical="center" wrapText="1"/>
      <protection/>
    </xf>
    <xf numFmtId="168" fontId="4" fillId="0" borderId="14" xfId="56" applyNumberFormat="1" applyFont="1" applyFill="1" applyBorder="1" applyAlignment="1" applyProtection="1">
      <alignment vertical="center" wrapText="1"/>
      <protection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18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0" fontId="4" fillId="0" borderId="0" xfId="66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/>
    </xf>
    <xf numFmtId="0" fontId="6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56" applyNumberFormat="1" applyFont="1" applyFill="1" applyBorder="1" applyAlignment="1" applyProtection="1">
      <alignment horizontal="justify" vertical="center" wrapText="1"/>
      <protection/>
    </xf>
    <xf numFmtId="49" fontId="3" fillId="0" borderId="10" xfId="56" applyNumberFormat="1" applyFont="1" applyFill="1" applyBorder="1" applyAlignment="1" applyProtection="1">
      <alignment horizontal="justify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 vertical="center"/>
    </xf>
    <xf numFmtId="16" fontId="4" fillId="0" borderId="16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67" fontId="4" fillId="0" borderId="11" xfId="69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9" fillId="0" borderId="0" xfId="73" applyNumberFormat="1" applyFont="1" applyFill="1" applyBorder="1" applyAlignment="1" applyProtection="1">
      <alignment vertical="center" wrapText="1"/>
      <protection/>
    </xf>
    <xf numFmtId="49" fontId="11" fillId="0" borderId="10" xfId="56" applyNumberFormat="1" applyFont="1" applyFill="1" applyBorder="1" applyAlignment="1" applyProtection="1">
      <alignment vertical="center" wrapText="1"/>
      <protection/>
    </xf>
    <xf numFmtId="3" fontId="4" fillId="0" borderId="11" xfId="0" applyNumberFormat="1" applyFont="1" applyFill="1" applyBorder="1" applyAlignment="1">
      <alignment horizontal="center" vertical="center"/>
    </xf>
    <xf numFmtId="168" fontId="4" fillId="0" borderId="20" xfId="56" applyNumberFormat="1" applyFont="1" applyFill="1" applyBorder="1" applyAlignment="1" applyProtection="1">
      <alignment horizontal="center" vertical="center" wrapText="1"/>
      <protection/>
    </xf>
    <xf numFmtId="168" fontId="4" fillId="0" borderId="21" xfId="56" applyNumberFormat="1" applyFont="1" applyFill="1" applyBorder="1" applyAlignment="1" applyProtection="1">
      <alignment horizontal="center" vertical="center" wrapText="1"/>
      <protection/>
    </xf>
    <xf numFmtId="168" fontId="4" fillId="0" borderId="12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/>
    </xf>
    <xf numFmtId="10" fontId="4" fillId="0" borderId="10" xfId="66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168" fontId="4" fillId="0" borderId="10" xfId="56" applyNumberFormat="1" applyFont="1" applyFill="1" applyBorder="1" applyAlignment="1" applyProtection="1">
      <alignment horizontal="center" vertical="center" wrapText="1"/>
      <protection/>
    </xf>
    <xf numFmtId="168" fontId="4" fillId="0" borderId="14" xfId="56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8" fontId="4" fillId="0" borderId="30" xfId="56" applyNumberFormat="1" applyFont="1" applyFill="1" applyBorder="1" applyAlignment="1" applyProtection="1">
      <alignment horizontal="center" vertical="center" wrapText="1"/>
      <protection/>
    </xf>
    <xf numFmtId="168" fontId="4" fillId="0" borderId="31" xfId="56" applyNumberFormat="1" applyFont="1" applyFill="1" applyBorder="1" applyAlignment="1" applyProtection="1">
      <alignment horizontal="center" vertical="center" wrapText="1"/>
      <protection/>
    </xf>
    <xf numFmtId="168" fontId="4" fillId="0" borderId="23" xfId="56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center"/>
    </xf>
    <xf numFmtId="0" fontId="48" fillId="0" borderId="16" xfId="0" applyFont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64" fillId="0" borderId="16" xfId="0" applyFont="1" applyBorder="1" applyAlignment="1">
      <alignment horizontal="right" vertical="center"/>
    </xf>
    <xf numFmtId="0" fontId="6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68" fontId="4" fillId="0" borderId="11" xfId="56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64" fillId="0" borderId="33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168" fontId="4" fillId="0" borderId="38" xfId="56" applyNumberFormat="1" applyFont="1" applyFill="1" applyBorder="1" applyAlignment="1" applyProtection="1">
      <alignment horizontal="center" vertical="center" wrapText="1"/>
      <protection/>
    </xf>
    <xf numFmtId="168" fontId="4" fillId="0" borderId="39" xfId="56" applyNumberFormat="1" applyFont="1" applyFill="1" applyBorder="1" applyAlignment="1" applyProtection="1">
      <alignment horizontal="center" vertical="center" wrapText="1"/>
      <protection/>
    </xf>
    <xf numFmtId="168" fontId="4" fillId="0" borderId="22" xfId="56" applyNumberFormat="1" applyFont="1" applyFill="1" applyBorder="1" applyAlignment="1" applyProtection="1">
      <alignment horizontal="center" vertical="center" wrapText="1"/>
      <protection/>
    </xf>
    <xf numFmtId="3" fontId="3" fillId="0" borderId="40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168" fontId="4" fillId="0" borderId="40" xfId="56" applyNumberFormat="1" applyFont="1" applyFill="1" applyBorder="1" applyAlignment="1" applyProtection="1">
      <alignment horizontal="center" vertical="center" wrapText="1"/>
      <protection/>
    </xf>
    <xf numFmtId="168" fontId="4" fillId="0" borderId="41" xfId="56" applyNumberFormat="1" applyFont="1" applyFill="1" applyBorder="1" applyAlignment="1" applyProtection="1">
      <alignment horizontal="center" vertical="center" wrapText="1"/>
      <protection/>
    </xf>
    <xf numFmtId="168" fontId="4" fillId="0" borderId="13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 2" xfId="54"/>
    <cellStyle name="Обычный 3" xfId="55"/>
    <cellStyle name="Обычный 3 2" xfId="56"/>
    <cellStyle name="Обычный 3 2 2 2 2" xfId="57"/>
    <cellStyle name="Обычный 3 2 2 5" xfId="58"/>
    <cellStyle name="Обычный 4" xfId="59"/>
    <cellStyle name="Обычный 58" xfId="60"/>
    <cellStyle name="Обычный 59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3" xfId="72"/>
    <cellStyle name="Финансовый 3 2 4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8"/>
  <sheetViews>
    <sheetView view="pageBreakPreview" zoomScale="70" zoomScaleSheetLayoutView="70" zoomScalePageLayoutView="70" workbookViewId="0" topLeftCell="A1">
      <pane ySplit="13" topLeftCell="A14" activePane="bottomLeft" state="frozen"/>
      <selection pane="topLeft" activeCell="A1" sqref="A1"/>
      <selection pane="bottomLeft" activeCell="N2" sqref="N2"/>
    </sheetView>
  </sheetViews>
  <sheetFormatPr defaultColWidth="9.140625" defaultRowHeight="15" outlineLevelRow="1"/>
  <cols>
    <col min="1" max="1" width="8.421875" style="7" customWidth="1"/>
    <col min="2" max="2" width="64.00390625" style="3" customWidth="1"/>
    <col min="3" max="3" width="21.00390625" style="4" customWidth="1"/>
    <col min="4" max="5" width="15.421875" style="4" customWidth="1"/>
    <col min="6" max="6" width="20.421875" style="2" customWidth="1"/>
    <col min="7" max="7" width="16.00390625" style="2" customWidth="1"/>
    <col min="8" max="13" width="16.57421875" style="2" customWidth="1"/>
    <col min="14" max="14" width="20.57421875" style="2" customWidth="1"/>
    <col min="15" max="15" width="9.140625" style="2" customWidth="1"/>
    <col min="16" max="16" width="24.28125" style="2" customWidth="1"/>
    <col min="17" max="17" width="15.421875" style="2" bestFit="1" customWidth="1"/>
    <col min="18" max="16384" width="9.140625" style="2" customWidth="1"/>
  </cols>
  <sheetData>
    <row r="1" spans="1:14" ht="15.75" outlineLevel="1">
      <c r="A1" s="101"/>
      <c r="B1" s="102"/>
      <c r="C1" s="103"/>
      <c r="D1" s="104"/>
      <c r="E1" s="104"/>
      <c r="F1" s="104"/>
      <c r="G1" s="102"/>
      <c r="H1" s="102"/>
      <c r="I1" s="104"/>
      <c r="J1" s="102"/>
      <c r="K1" s="157"/>
      <c r="L1" s="157"/>
      <c r="M1" s="158"/>
      <c r="N1" s="159"/>
    </row>
    <row r="2" spans="1:14" s="4" customFormat="1" ht="18.75" outlineLevel="1">
      <c r="A2" s="105"/>
      <c r="B2" s="96"/>
      <c r="C2" s="54"/>
      <c r="D2" s="54"/>
      <c r="E2" s="54"/>
      <c r="F2" s="54"/>
      <c r="G2" s="61" t="s">
        <v>697</v>
      </c>
      <c r="H2" s="96"/>
      <c r="I2" s="54"/>
      <c r="J2" s="54"/>
      <c r="K2" s="54"/>
      <c r="L2" s="54"/>
      <c r="M2" s="54"/>
      <c r="N2" s="106"/>
    </row>
    <row r="3" spans="1:14" s="4" customFormat="1" ht="18.75" outlineLevel="1">
      <c r="A3" s="105"/>
      <c r="B3" s="96"/>
      <c r="C3" s="54"/>
      <c r="D3" s="54"/>
      <c r="E3" s="54"/>
      <c r="F3" s="54"/>
      <c r="G3" s="61" t="s">
        <v>703</v>
      </c>
      <c r="H3" s="96"/>
      <c r="I3" s="54"/>
      <c r="J3" s="54"/>
      <c r="K3" s="54"/>
      <c r="L3" s="54"/>
      <c r="M3" s="54"/>
      <c r="N3" s="106"/>
    </row>
    <row r="4" spans="1:14" s="4" customFormat="1" ht="18.75" outlineLevel="1">
      <c r="A4" s="105"/>
      <c r="B4" s="96"/>
      <c r="C4" s="54"/>
      <c r="D4" s="54"/>
      <c r="E4" s="54"/>
      <c r="F4" s="54"/>
      <c r="G4" s="107" t="s">
        <v>698</v>
      </c>
      <c r="H4" s="108"/>
      <c r="I4" s="54"/>
      <c r="J4" s="54"/>
      <c r="K4" s="54"/>
      <c r="L4" s="54"/>
      <c r="M4" s="54"/>
      <c r="N4" s="109"/>
    </row>
    <row r="5" spans="1:14" s="4" customFormat="1" ht="18.75" outlineLevel="1">
      <c r="A5" s="105"/>
      <c r="B5" s="96"/>
      <c r="C5" s="57"/>
      <c r="D5" s="54"/>
      <c r="E5" s="54"/>
      <c r="F5" s="54"/>
      <c r="G5" s="110" t="s">
        <v>699</v>
      </c>
      <c r="H5" s="54"/>
      <c r="I5" s="54"/>
      <c r="J5" s="111"/>
      <c r="K5" s="111"/>
      <c r="L5" s="54"/>
      <c r="M5" s="54"/>
      <c r="N5" s="106"/>
    </row>
    <row r="6" spans="1:14" s="4" customFormat="1" ht="18.75" outlineLevel="1">
      <c r="A6" s="105"/>
      <c r="B6" s="96"/>
      <c r="C6" s="57"/>
      <c r="D6" s="54"/>
      <c r="E6" s="54"/>
      <c r="F6" s="54"/>
      <c r="G6" s="107" t="s">
        <v>700</v>
      </c>
      <c r="H6" s="108"/>
      <c r="I6" s="54"/>
      <c r="J6" s="54"/>
      <c r="K6" s="54"/>
      <c r="L6" s="54"/>
      <c r="M6" s="111"/>
      <c r="N6" s="109"/>
    </row>
    <row r="7" spans="1:14" s="4" customFormat="1" ht="18.75" outlineLevel="1">
      <c r="A7" s="105"/>
      <c r="B7" s="96"/>
      <c r="C7" s="54"/>
      <c r="D7" s="54"/>
      <c r="E7" s="54"/>
      <c r="F7" s="54"/>
      <c r="G7" s="110" t="s">
        <v>701</v>
      </c>
      <c r="H7" s="54"/>
      <c r="I7" s="54"/>
      <c r="J7" s="111"/>
      <c r="K7" s="111"/>
      <c r="L7" s="54"/>
      <c r="M7" s="54"/>
      <c r="N7" s="109"/>
    </row>
    <row r="8" spans="1:14" ht="26.25" customHeight="1">
      <c r="A8" s="112"/>
      <c r="B8" s="160" t="s">
        <v>702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1"/>
    </row>
    <row r="9" spans="1:14" s="88" customFormat="1" ht="16.5" thickBot="1">
      <c r="A9" s="113"/>
      <c r="B9" s="87"/>
      <c r="C9" s="54"/>
      <c r="D9" s="54"/>
      <c r="E9" s="54"/>
      <c r="G9" s="89"/>
      <c r="H9" s="89"/>
      <c r="I9" s="90"/>
      <c r="K9" s="89"/>
      <c r="M9" s="89"/>
      <c r="N9" s="114"/>
    </row>
    <row r="10" spans="1:14" ht="15.75" customHeight="1">
      <c r="A10" s="132" t="s">
        <v>0</v>
      </c>
      <c r="B10" s="149" t="s">
        <v>1</v>
      </c>
      <c r="C10" s="154" t="s">
        <v>6</v>
      </c>
      <c r="D10" s="132" t="s">
        <v>670</v>
      </c>
      <c r="E10" s="133"/>
      <c r="F10" s="136" t="s">
        <v>673</v>
      </c>
      <c r="G10" s="133"/>
      <c r="H10" s="136" t="s">
        <v>14</v>
      </c>
      <c r="I10" s="149"/>
      <c r="J10" s="150"/>
      <c r="K10" s="150"/>
      <c r="L10" s="150"/>
      <c r="M10" s="150"/>
      <c r="N10" s="151"/>
    </row>
    <row r="11" spans="1:14" ht="47.25">
      <c r="A11" s="152"/>
      <c r="B11" s="153"/>
      <c r="C11" s="155"/>
      <c r="D11" s="134"/>
      <c r="E11" s="135"/>
      <c r="F11" s="137"/>
      <c r="G11" s="135"/>
      <c r="H11" s="137" t="s">
        <v>674</v>
      </c>
      <c r="I11" s="138"/>
      <c r="J11" s="138" t="s">
        <v>675</v>
      </c>
      <c r="K11" s="138"/>
      <c r="L11" s="138" t="s">
        <v>676</v>
      </c>
      <c r="M11" s="138"/>
      <c r="N11" s="71" t="s">
        <v>13</v>
      </c>
    </row>
    <row r="12" spans="1:14" ht="16.5" thickBot="1">
      <c r="A12" s="30"/>
      <c r="B12" s="38"/>
      <c r="C12" s="27"/>
      <c r="D12" s="39" t="s">
        <v>671</v>
      </c>
      <c r="E12" s="19" t="s">
        <v>672</v>
      </c>
      <c r="F12" s="40" t="s">
        <v>671</v>
      </c>
      <c r="G12" s="19" t="s">
        <v>672</v>
      </c>
      <c r="H12" s="40" t="s">
        <v>671</v>
      </c>
      <c r="I12" s="41" t="s">
        <v>672</v>
      </c>
      <c r="J12" s="41" t="s">
        <v>671</v>
      </c>
      <c r="K12" s="41" t="s">
        <v>672</v>
      </c>
      <c r="L12" s="41" t="s">
        <v>671</v>
      </c>
      <c r="M12" s="41" t="s">
        <v>672</v>
      </c>
      <c r="N12" s="19"/>
    </row>
    <row r="13" spans="1:14" s="7" customFormat="1" ht="15.75">
      <c r="A13" s="20">
        <v>1</v>
      </c>
      <c r="B13" s="85">
        <v>2</v>
      </c>
      <c r="C13" s="22">
        <v>3</v>
      </c>
      <c r="D13" s="20">
        <v>4</v>
      </c>
      <c r="E13" s="42">
        <v>5</v>
      </c>
      <c r="F13" s="86">
        <v>6</v>
      </c>
      <c r="G13" s="42">
        <v>7</v>
      </c>
      <c r="H13" s="86">
        <v>8</v>
      </c>
      <c r="I13" s="85">
        <v>9</v>
      </c>
      <c r="J13" s="85">
        <v>10</v>
      </c>
      <c r="K13" s="85">
        <v>11</v>
      </c>
      <c r="L13" s="85">
        <v>12</v>
      </c>
      <c r="M13" s="85">
        <v>13</v>
      </c>
      <c r="N13" s="42">
        <v>14</v>
      </c>
    </row>
    <row r="14" spans="1:14" ht="15.75">
      <c r="A14" s="23"/>
      <c r="B14" s="65" t="s">
        <v>139</v>
      </c>
      <c r="C14" s="26"/>
      <c r="D14" s="23"/>
      <c r="E14" s="72"/>
      <c r="F14" s="79"/>
      <c r="G14" s="72"/>
      <c r="H14" s="79"/>
      <c r="I14" s="64"/>
      <c r="J14" s="64"/>
      <c r="K14" s="64"/>
      <c r="L14" s="64"/>
      <c r="M14" s="64"/>
      <c r="N14" s="72"/>
    </row>
    <row r="15" spans="1:14" ht="15.75">
      <c r="A15" s="73"/>
      <c r="B15" s="66" t="s">
        <v>140</v>
      </c>
      <c r="C15" s="25"/>
      <c r="D15" s="33"/>
      <c r="E15" s="81"/>
      <c r="F15" s="80">
        <f aca="true" t="shared" si="0" ref="F15:G17">H15+J15+L15</f>
        <v>13121460.355359476</v>
      </c>
      <c r="G15" s="15">
        <f t="shared" si="0"/>
        <v>12723982.353978004</v>
      </c>
      <c r="H15" s="80">
        <f aca="true" t="shared" si="1" ref="H15:N15">H378+H299+H183+H157+H16</f>
        <v>10202789.46077233</v>
      </c>
      <c r="I15" s="1">
        <f t="shared" si="1"/>
        <v>7375021.427488576</v>
      </c>
      <c r="J15" s="1">
        <f t="shared" si="1"/>
        <v>2400000.000000002</v>
      </c>
      <c r="K15" s="1">
        <f t="shared" si="1"/>
        <v>2367443.81056321</v>
      </c>
      <c r="L15" s="1">
        <f t="shared" si="1"/>
        <v>518670.894587144</v>
      </c>
      <c r="M15" s="1">
        <f t="shared" si="1"/>
        <v>2981517.11592622</v>
      </c>
      <c r="N15" s="15">
        <f t="shared" si="1"/>
        <v>0</v>
      </c>
    </row>
    <row r="16" spans="1:14" ht="15.75">
      <c r="A16" s="74"/>
      <c r="B16" s="65" t="s">
        <v>2</v>
      </c>
      <c r="C16" s="26"/>
      <c r="D16" s="23"/>
      <c r="E16" s="72"/>
      <c r="F16" s="80">
        <f t="shared" si="0"/>
        <v>10692874.551997697</v>
      </c>
      <c r="G16" s="15">
        <f t="shared" si="0"/>
        <v>10808351.212968007</v>
      </c>
      <c r="H16" s="80">
        <f aca="true" t="shared" si="2" ref="H16:M16">SUM(H17:H156)-H119-H41</f>
        <v>7774203.657410551</v>
      </c>
      <c r="I16" s="1">
        <f t="shared" si="2"/>
        <v>5459390.286478575</v>
      </c>
      <c r="J16" s="1">
        <f t="shared" si="2"/>
        <v>2400000.000000002</v>
      </c>
      <c r="K16" s="1">
        <f t="shared" si="2"/>
        <v>2367443.81056321</v>
      </c>
      <c r="L16" s="1">
        <f t="shared" si="2"/>
        <v>518670.894587144</v>
      </c>
      <c r="M16" s="1">
        <f t="shared" si="2"/>
        <v>2981517.11592622</v>
      </c>
      <c r="N16" s="15">
        <f>SUM(N17:N156)-N119-N41</f>
        <v>0</v>
      </c>
    </row>
    <row r="17" spans="1:14" ht="47.25">
      <c r="A17" s="73">
        <v>1</v>
      </c>
      <c r="B17" s="67" t="s">
        <v>7</v>
      </c>
      <c r="C17" s="24" t="s">
        <v>525</v>
      </c>
      <c r="D17" s="28" t="s">
        <v>526</v>
      </c>
      <c r="E17" s="71" t="s">
        <v>708</v>
      </c>
      <c r="F17" s="80">
        <f t="shared" si="0"/>
        <v>518670.894587144</v>
      </c>
      <c r="G17" s="15">
        <f>I17+K17+M17</f>
        <v>36332.48512</v>
      </c>
      <c r="H17" s="36"/>
      <c r="I17" s="9"/>
      <c r="J17" s="35"/>
      <c r="K17" s="9"/>
      <c r="L17" s="37">
        <v>518670.894587144</v>
      </c>
      <c r="M17" s="37">
        <v>36332.48512</v>
      </c>
      <c r="N17" s="13"/>
    </row>
    <row r="18" spans="1:14" ht="15.75" outlineLevel="1">
      <c r="A18" s="75" t="s">
        <v>19</v>
      </c>
      <c r="B18" s="68" t="s">
        <v>30</v>
      </c>
      <c r="C18" s="25" t="s">
        <v>34</v>
      </c>
      <c r="D18" s="32">
        <v>215</v>
      </c>
      <c r="E18" s="82">
        <v>215</v>
      </c>
      <c r="F18" s="97"/>
      <c r="G18" s="115"/>
      <c r="H18" s="98"/>
      <c r="I18" s="116"/>
      <c r="J18" s="99"/>
      <c r="K18" s="116"/>
      <c r="L18" s="99"/>
      <c r="M18" s="116"/>
      <c r="N18" s="100"/>
    </row>
    <row r="19" spans="1:14" ht="31.5" outlineLevel="1">
      <c r="A19" s="75" t="s">
        <v>20</v>
      </c>
      <c r="B19" s="68" t="s">
        <v>32</v>
      </c>
      <c r="C19" s="25" t="s">
        <v>33</v>
      </c>
      <c r="D19" s="32">
        <v>1</v>
      </c>
      <c r="E19" s="82">
        <v>1</v>
      </c>
      <c r="F19" s="97"/>
      <c r="G19" s="115"/>
      <c r="H19" s="98"/>
      <c r="I19" s="116"/>
      <c r="J19" s="99"/>
      <c r="K19" s="116"/>
      <c r="L19" s="99"/>
      <c r="M19" s="116"/>
      <c r="N19" s="100"/>
    </row>
    <row r="20" spans="1:14" ht="47.25" outlineLevel="1">
      <c r="A20" s="75" t="s">
        <v>21</v>
      </c>
      <c r="B20" s="68" t="s">
        <v>31</v>
      </c>
      <c r="C20" s="25" t="s">
        <v>33</v>
      </c>
      <c r="D20" s="32">
        <v>2</v>
      </c>
      <c r="E20" s="82">
        <v>2</v>
      </c>
      <c r="F20" s="97"/>
      <c r="G20" s="115"/>
      <c r="H20" s="98"/>
      <c r="I20" s="116"/>
      <c r="J20" s="99"/>
      <c r="K20" s="116"/>
      <c r="L20" s="99"/>
      <c r="M20" s="116"/>
      <c r="N20" s="100"/>
    </row>
    <row r="21" spans="1:14" ht="15.75" outlineLevel="1">
      <c r="A21" s="75" t="s">
        <v>35</v>
      </c>
      <c r="B21" s="68" t="s">
        <v>36</v>
      </c>
      <c r="C21" s="25" t="s">
        <v>37</v>
      </c>
      <c r="D21" s="32">
        <v>4</v>
      </c>
      <c r="E21" s="82">
        <v>4</v>
      </c>
      <c r="F21" s="97"/>
      <c r="G21" s="115"/>
      <c r="H21" s="98"/>
      <c r="I21" s="116"/>
      <c r="J21" s="99"/>
      <c r="K21" s="116"/>
      <c r="L21" s="99"/>
      <c r="M21" s="116"/>
      <c r="N21" s="100"/>
    </row>
    <row r="22" spans="1:14" ht="15.75" outlineLevel="1">
      <c r="A22" s="75" t="s">
        <v>39</v>
      </c>
      <c r="B22" s="68" t="s">
        <v>38</v>
      </c>
      <c r="C22" s="25" t="s">
        <v>33</v>
      </c>
      <c r="D22" s="32">
        <v>1</v>
      </c>
      <c r="E22" s="82">
        <v>1</v>
      </c>
      <c r="F22" s="97"/>
      <c r="G22" s="115"/>
      <c r="H22" s="98"/>
      <c r="I22" s="116"/>
      <c r="J22" s="99"/>
      <c r="K22" s="116"/>
      <c r="L22" s="99"/>
      <c r="M22" s="116"/>
      <c r="N22" s="100"/>
    </row>
    <row r="23" spans="1:14" ht="47.25" outlineLevel="1">
      <c r="A23" s="75" t="s">
        <v>40</v>
      </c>
      <c r="B23" s="68" t="s">
        <v>41</v>
      </c>
      <c r="C23" s="25" t="s">
        <v>42</v>
      </c>
      <c r="D23" s="32">
        <v>28.31</v>
      </c>
      <c r="E23" s="82">
        <v>27</v>
      </c>
      <c r="F23" s="97"/>
      <c r="G23" s="115"/>
      <c r="H23" s="98"/>
      <c r="I23" s="116"/>
      <c r="J23" s="99"/>
      <c r="K23" s="116"/>
      <c r="L23" s="99"/>
      <c r="M23" s="116"/>
      <c r="N23" s="100"/>
    </row>
    <row r="24" spans="1:14" ht="15.75" outlineLevel="1">
      <c r="A24" s="75" t="s">
        <v>43</v>
      </c>
      <c r="B24" s="68" t="s">
        <v>44</v>
      </c>
      <c r="C24" s="25" t="s">
        <v>34</v>
      </c>
      <c r="D24" s="32">
        <v>2.05</v>
      </c>
      <c r="E24" s="82">
        <v>0.81</v>
      </c>
      <c r="F24" s="97"/>
      <c r="G24" s="115"/>
      <c r="H24" s="98"/>
      <c r="I24" s="116"/>
      <c r="J24" s="99"/>
      <c r="K24" s="116"/>
      <c r="L24" s="99"/>
      <c r="M24" s="116"/>
      <c r="N24" s="100"/>
    </row>
    <row r="25" spans="1:14" ht="31.5" outlineLevel="1">
      <c r="A25" s="75" t="s">
        <v>48</v>
      </c>
      <c r="B25" s="68" t="s">
        <v>45</v>
      </c>
      <c r="C25" s="25" t="s">
        <v>37</v>
      </c>
      <c r="D25" s="32">
        <v>6</v>
      </c>
      <c r="E25" s="82">
        <v>6</v>
      </c>
      <c r="F25" s="97"/>
      <c r="G25" s="115"/>
      <c r="H25" s="98"/>
      <c r="I25" s="116"/>
      <c r="J25" s="99"/>
      <c r="K25" s="116"/>
      <c r="L25" s="99"/>
      <c r="M25" s="116"/>
      <c r="N25" s="100"/>
    </row>
    <row r="26" spans="1:14" ht="31.5" outlineLevel="1">
      <c r="A26" s="75" t="s">
        <v>49</v>
      </c>
      <c r="B26" s="68" t="s">
        <v>46</v>
      </c>
      <c r="C26" s="25" t="s">
        <v>37</v>
      </c>
      <c r="D26" s="32">
        <v>4</v>
      </c>
      <c r="E26" s="82">
        <v>4</v>
      </c>
      <c r="F26" s="97"/>
      <c r="G26" s="115"/>
      <c r="H26" s="98"/>
      <c r="I26" s="116"/>
      <c r="J26" s="99"/>
      <c r="K26" s="116"/>
      <c r="L26" s="99"/>
      <c r="M26" s="116"/>
      <c r="N26" s="100"/>
    </row>
    <row r="27" spans="1:14" ht="15.75" outlineLevel="1">
      <c r="A27" s="75" t="s">
        <v>50</v>
      </c>
      <c r="B27" s="68" t="s">
        <v>47</v>
      </c>
      <c r="C27" s="25" t="s">
        <v>42</v>
      </c>
      <c r="D27" s="32">
        <v>5.6</v>
      </c>
      <c r="E27" s="82">
        <v>5.6</v>
      </c>
      <c r="F27" s="97"/>
      <c r="G27" s="115"/>
      <c r="H27" s="98"/>
      <c r="I27" s="116"/>
      <c r="J27" s="99"/>
      <c r="K27" s="116"/>
      <c r="L27" s="99"/>
      <c r="M27" s="116"/>
      <c r="N27" s="100"/>
    </row>
    <row r="28" spans="1:14" ht="31.5" outlineLevel="1">
      <c r="A28" s="75" t="s">
        <v>52</v>
      </c>
      <c r="B28" s="68" t="s">
        <v>707</v>
      </c>
      <c r="C28" s="25" t="s">
        <v>37</v>
      </c>
      <c r="D28" s="32">
        <v>7</v>
      </c>
      <c r="E28" s="82">
        <v>7</v>
      </c>
      <c r="F28" s="97"/>
      <c r="G28" s="115"/>
      <c r="H28" s="98"/>
      <c r="I28" s="116"/>
      <c r="J28" s="99"/>
      <c r="K28" s="116"/>
      <c r="L28" s="99"/>
      <c r="M28" s="116"/>
      <c r="N28" s="100"/>
    </row>
    <row r="29" spans="1:14" ht="15.75" outlineLevel="1">
      <c r="A29" s="75" t="s">
        <v>53</v>
      </c>
      <c r="B29" s="68" t="s">
        <v>51</v>
      </c>
      <c r="C29" s="25" t="s">
        <v>37</v>
      </c>
      <c r="D29" s="32">
        <v>1</v>
      </c>
      <c r="E29" s="82">
        <v>1</v>
      </c>
      <c r="F29" s="97"/>
      <c r="G29" s="115"/>
      <c r="H29" s="98"/>
      <c r="I29" s="116"/>
      <c r="J29" s="99"/>
      <c r="K29" s="116"/>
      <c r="L29" s="99"/>
      <c r="M29" s="116"/>
      <c r="N29" s="100"/>
    </row>
    <row r="30" spans="1:14" ht="15.75" outlineLevel="1">
      <c r="A30" s="75" t="s">
        <v>59</v>
      </c>
      <c r="B30" s="68" t="s">
        <v>54</v>
      </c>
      <c r="C30" s="25" t="s">
        <v>37</v>
      </c>
      <c r="D30" s="32">
        <v>1</v>
      </c>
      <c r="E30" s="82">
        <v>1</v>
      </c>
      <c r="F30" s="97"/>
      <c r="G30" s="115"/>
      <c r="H30" s="98"/>
      <c r="I30" s="116"/>
      <c r="J30" s="99"/>
      <c r="K30" s="116"/>
      <c r="L30" s="99"/>
      <c r="M30" s="116"/>
      <c r="N30" s="100"/>
    </row>
    <row r="31" spans="1:14" ht="15.75" outlineLevel="1">
      <c r="A31" s="75" t="s">
        <v>60</v>
      </c>
      <c r="B31" s="68" t="s">
        <v>55</v>
      </c>
      <c r="C31" s="25" t="s">
        <v>37</v>
      </c>
      <c r="D31" s="32">
        <v>1</v>
      </c>
      <c r="E31" s="82">
        <v>1</v>
      </c>
      <c r="F31" s="97"/>
      <c r="G31" s="115"/>
      <c r="H31" s="98"/>
      <c r="I31" s="116"/>
      <c r="J31" s="99"/>
      <c r="K31" s="116"/>
      <c r="L31" s="99"/>
      <c r="M31" s="116"/>
      <c r="N31" s="100"/>
    </row>
    <row r="32" spans="1:14" ht="31.5" outlineLevel="1">
      <c r="A32" s="75" t="s">
        <v>61</v>
      </c>
      <c r="B32" s="68" t="s">
        <v>56</v>
      </c>
      <c r="C32" s="25" t="s">
        <v>33</v>
      </c>
      <c r="D32" s="32">
        <v>1</v>
      </c>
      <c r="E32" s="82">
        <v>1</v>
      </c>
      <c r="F32" s="97"/>
      <c r="G32" s="115"/>
      <c r="H32" s="98"/>
      <c r="I32" s="116"/>
      <c r="J32" s="99"/>
      <c r="K32" s="116"/>
      <c r="L32" s="99"/>
      <c r="M32" s="116"/>
      <c r="N32" s="100"/>
    </row>
    <row r="33" spans="1:14" ht="15.75" outlineLevel="1">
      <c r="A33" s="75" t="s">
        <v>62</v>
      </c>
      <c r="B33" s="68" t="s">
        <v>57</v>
      </c>
      <c r="C33" s="25" t="s">
        <v>37</v>
      </c>
      <c r="D33" s="32">
        <v>1</v>
      </c>
      <c r="E33" s="82">
        <v>1</v>
      </c>
      <c r="F33" s="97"/>
      <c r="G33" s="115"/>
      <c r="H33" s="98"/>
      <c r="I33" s="116"/>
      <c r="J33" s="99"/>
      <c r="K33" s="116"/>
      <c r="L33" s="99"/>
      <c r="M33" s="116"/>
      <c r="N33" s="100"/>
    </row>
    <row r="34" spans="1:14" ht="15.75" outlineLevel="1">
      <c r="A34" s="75" t="s">
        <v>63</v>
      </c>
      <c r="B34" s="68" t="s">
        <v>58</v>
      </c>
      <c r="C34" s="25" t="s">
        <v>37</v>
      </c>
      <c r="D34" s="32">
        <v>1</v>
      </c>
      <c r="E34" s="82">
        <v>1</v>
      </c>
      <c r="F34" s="97"/>
      <c r="G34" s="115"/>
      <c r="H34" s="98"/>
      <c r="I34" s="116"/>
      <c r="J34" s="99"/>
      <c r="K34" s="116"/>
      <c r="L34" s="99"/>
      <c r="M34" s="116"/>
      <c r="N34" s="100"/>
    </row>
    <row r="35" spans="1:14" ht="63">
      <c r="A35" s="73">
        <v>2</v>
      </c>
      <c r="B35" s="67" t="s">
        <v>17</v>
      </c>
      <c r="C35" s="26" t="s">
        <v>37</v>
      </c>
      <c r="D35" s="23">
        <v>1</v>
      </c>
      <c r="E35" s="72">
        <v>1</v>
      </c>
      <c r="F35" s="147">
        <f>H35+J35+L35</f>
        <v>21945</v>
      </c>
      <c r="G35" s="123">
        <f>I35+K35+M35</f>
        <v>21945</v>
      </c>
      <c r="H35" s="125">
        <v>21945</v>
      </c>
      <c r="I35" s="125">
        <f>21945000/1000</f>
        <v>21945</v>
      </c>
      <c r="J35" s="124"/>
      <c r="K35" s="124"/>
      <c r="L35" s="124"/>
      <c r="M35" s="124"/>
      <c r="N35" s="145"/>
    </row>
    <row r="36" spans="1:14" ht="15.75" outlineLevel="1">
      <c r="A36" s="75" t="s">
        <v>23</v>
      </c>
      <c r="B36" s="56" t="s">
        <v>527</v>
      </c>
      <c r="C36" s="25" t="s">
        <v>37</v>
      </c>
      <c r="D36" s="33">
        <v>1</v>
      </c>
      <c r="E36" s="81">
        <v>1</v>
      </c>
      <c r="F36" s="148"/>
      <c r="G36" s="123"/>
      <c r="H36" s="126"/>
      <c r="I36" s="126"/>
      <c r="J36" s="156"/>
      <c r="K36" s="124"/>
      <c r="L36" s="156"/>
      <c r="M36" s="124"/>
      <c r="N36" s="146"/>
    </row>
    <row r="37" spans="1:14" ht="47.25" customHeight="1">
      <c r="A37" s="73">
        <v>3</v>
      </c>
      <c r="B37" s="67" t="s">
        <v>8</v>
      </c>
      <c r="C37" s="24" t="s">
        <v>528</v>
      </c>
      <c r="D37" s="28" t="s">
        <v>529</v>
      </c>
      <c r="E37" s="71" t="s">
        <v>706</v>
      </c>
      <c r="F37" s="147">
        <f>H37+J37+L37</f>
        <v>1399879.1844589314</v>
      </c>
      <c r="G37" s="123">
        <f>I37+K37+M37</f>
        <v>770558.16072</v>
      </c>
      <c r="H37" s="125">
        <v>1399879.1844589314</v>
      </c>
      <c r="I37" s="125">
        <v>770558.16072</v>
      </c>
      <c r="J37" s="124"/>
      <c r="K37" s="124"/>
      <c r="L37" s="124"/>
      <c r="M37" s="124"/>
      <c r="N37" s="145"/>
    </row>
    <row r="38" spans="1:14" ht="15.75" outlineLevel="1">
      <c r="A38" s="75" t="s">
        <v>28</v>
      </c>
      <c r="B38" s="56" t="s">
        <v>137</v>
      </c>
      <c r="C38" s="25" t="s">
        <v>37</v>
      </c>
      <c r="D38" s="33">
        <v>9</v>
      </c>
      <c r="E38" s="81">
        <v>6</v>
      </c>
      <c r="F38" s="148"/>
      <c r="G38" s="128"/>
      <c r="H38" s="126"/>
      <c r="I38" s="126"/>
      <c r="J38" s="156"/>
      <c r="K38" s="124"/>
      <c r="L38" s="156"/>
      <c r="M38" s="124"/>
      <c r="N38" s="146"/>
    </row>
    <row r="39" spans="1:14" ht="15.75" outlineLevel="1">
      <c r="A39" s="75" t="s">
        <v>141</v>
      </c>
      <c r="B39" s="56" t="s">
        <v>138</v>
      </c>
      <c r="C39" s="25" t="s">
        <v>37</v>
      </c>
      <c r="D39" s="33">
        <f>8+8+12+1+12+2+19+19+10+5+2</f>
        <v>98</v>
      </c>
      <c r="E39" s="81">
        <v>85</v>
      </c>
      <c r="F39" s="148"/>
      <c r="G39" s="128"/>
      <c r="H39" s="126"/>
      <c r="I39" s="126"/>
      <c r="J39" s="156"/>
      <c r="K39" s="124"/>
      <c r="L39" s="156"/>
      <c r="M39" s="124"/>
      <c r="N39" s="146"/>
    </row>
    <row r="40" spans="1:14" ht="15.75" outlineLevel="1">
      <c r="A40" s="75" t="s">
        <v>142</v>
      </c>
      <c r="B40" s="56" t="s">
        <v>136</v>
      </c>
      <c r="C40" s="25" t="s">
        <v>42</v>
      </c>
      <c r="D40" s="33">
        <v>46.94</v>
      </c>
      <c r="E40" s="81">
        <v>16.4</v>
      </c>
      <c r="F40" s="148"/>
      <c r="G40" s="128"/>
      <c r="H40" s="126"/>
      <c r="I40" s="126"/>
      <c r="J40" s="156"/>
      <c r="K40" s="124"/>
      <c r="L40" s="156"/>
      <c r="M40" s="124"/>
      <c r="N40" s="146"/>
    </row>
    <row r="41" spans="1:14" ht="94.5">
      <c r="A41" s="75">
        <v>4</v>
      </c>
      <c r="B41" s="67" t="s">
        <v>143</v>
      </c>
      <c r="C41" s="24" t="s">
        <v>184</v>
      </c>
      <c r="D41" s="28" t="s">
        <v>724</v>
      </c>
      <c r="E41" s="71" t="s">
        <v>704</v>
      </c>
      <c r="F41" s="80">
        <f>H41+J41+L41</f>
        <v>151468.26761714314</v>
      </c>
      <c r="G41" s="15">
        <f>I41+K41+M41</f>
        <v>135560.16446</v>
      </c>
      <c r="H41" s="9">
        <f>SUM(H42:H67)</f>
        <v>151468.26761714314</v>
      </c>
      <c r="I41" s="9">
        <f>SUM(I42:I67)</f>
        <v>135560.16446</v>
      </c>
      <c r="J41" s="8"/>
      <c r="K41" s="8"/>
      <c r="L41" s="9"/>
      <c r="M41" s="9"/>
      <c r="N41" s="13"/>
    </row>
    <row r="42" spans="1:14" ht="15.75" outlineLevel="1">
      <c r="A42" s="141" t="s">
        <v>170</v>
      </c>
      <c r="B42" s="56" t="s">
        <v>144</v>
      </c>
      <c r="C42" s="25" t="s">
        <v>80</v>
      </c>
      <c r="D42" s="33">
        <v>1</v>
      </c>
      <c r="E42" s="81">
        <v>1</v>
      </c>
      <c r="F42" s="80">
        <f aca="true" t="shared" si="3" ref="F42:G66">H42+J42+L42</f>
        <v>527</v>
      </c>
      <c r="G42" s="15">
        <f>I42+K42+M42</f>
        <v>527</v>
      </c>
      <c r="H42" s="21">
        <v>527</v>
      </c>
      <c r="I42" s="21">
        <f>527000/1000</f>
        <v>527</v>
      </c>
      <c r="J42" s="8"/>
      <c r="K42" s="8"/>
      <c r="L42" s="9"/>
      <c r="M42" s="9"/>
      <c r="N42" s="13"/>
    </row>
    <row r="43" spans="1:14" ht="31.5" outlineLevel="1">
      <c r="A43" s="142"/>
      <c r="B43" s="56" t="s">
        <v>145</v>
      </c>
      <c r="C43" s="25" t="s">
        <v>183</v>
      </c>
      <c r="D43" s="33">
        <v>1</v>
      </c>
      <c r="E43" s="81">
        <v>1</v>
      </c>
      <c r="F43" s="80">
        <f t="shared" si="3"/>
        <v>241.046</v>
      </c>
      <c r="G43" s="15">
        <f t="shared" si="3"/>
        <v>239.544</v>
      </c>
      <c r="H43" s="21">
        <v>241.046</v>
      </c>
      <c r="I43" s="21">
        <f>239544/1000</f>
        <v>239.544</v>
      </c>
      <c r="J43" s="8"/>
      <c r="K43" s="8"/>
      <c r="L43" s="9"/>
      <c r="M43" s="9"/>
      <c r="N43" s="13"/>
    </row>
    <row r="44" spans="1:14" ht="47.25" outlineLevel="1">
      <c r="A44" s="141" t="s">
        <v>171</v>
      </c>
      <c r="B44" s="56" t="s">
        <v>146</v>
      </c>
      <c r="C44" s="25" t="s">
        <v>80</v>
      </c>
      <c r="D44" s="33">
        <v>1</v>
      </c>
      <c r="E44" s="81">
        <v>1</v>
      </c>
      <c r="F44" s="80">
        <f t="shared" si="3"/>
        <v>12627.513513214286</v>
      </c>
      <c r="G44" s="15">
        <f t="shared" si="3"/>
        <v>12627.513509999999</v>
      </c>
      <c r="H44" s="21">
        <v>12627.513513214286</v>
      </c>
      <c r="I44" s="21">
        <f>8424774.53/1000+4202738.98/1000</f>
        <v>12627.513509999999</v>
      </c>
      <c r="J44" s="8"/>
      <c r="K44" s="8"/>
      <c r="L44" s="9"/>
      <c r="M44" s="9"/>
      <c r="N44" s="13"/>
    </row>
    <row r="45" spans="1:14" ht="63" outlineLevel="1">
      <c r="A45" s="142"/>
      <c r="B45" s="56" t="s">
        <v>147</v>
      </c>
      <c r="C45" s="25" t="s">
        <v>183</v>
      </c>
      <c r="D45" s="33">
        <v>1</v>
      </c>
      <c r="E45" s="81">
        <v>1</v>
      </c>
      <c r="F45" s="80">
        <f t="shared" si="3"/>
        <v>1447</v>
      </c>
      <c r="G45" s="15">
        <f t="shared" si="3"/>
        <v>1484.412</v>
      </c>
      <c r="H45" s="21">
        <v>1447</v>
      </c>
      <c r="I45" s="21">
        <f>1484412/1000</f>
        <v>1484.412</v>
      </c>
      <c r="J45" s="8"/>
      <c r="K45" s="8"/>
      <c r="L45" s="9"/>
      <c r="M45" s="9"/>
      <c r="N45" s="13"/>
    </row>
    <row r="46" spans="1:14" ht="31.5" outlineLevel="1">
      <c r="A46" s="141" t="s">
        <v>172</v>
      </c>
      <c r="B46" s="56" t="s">
        <v>148</v>
      </c>
      <c r="C46" s="25" t="s">
        <v>80</v>
      </c>
      <c r="D46" s="33">
        <v>1</v>
      </c>
      <c r="E46" s="81">
        <v>1</v>
      </c>
      <c r="F46" s="80">
        <f t="shared" si="3"/>
        <v>11841.591416785714</v>
      </c>
      <c r="G46" s="15">
        <f t="shared" si="3"/>
        <v>11841.59142</v>
      </c>
      <c r="H46" s="21">
        <v>11841.591416785714</v>
      </c>
      <c r="I46" s="21">
        <f>9326401.45/1000+2515189.97/1000</f>
        <v>11841.59142</v>
      </c>
      <c r="J46" s="8"/>
      <c r="K46" s="8"/>
      <c r="L46" s="9"/>
      <c r="M46" s="9"/>
      <c r="N46" s="13"/>
    </row>
    <row r="47" spans="1:14" ht="47.25" outlineLevel="1">
      <c r="A47" s="142"/>
      <c r="B47" s="56" t="s">
        <v>149</v>
      </c>
      <c r="C47" s="25" t="s">
        <v>183</v>
      </c>
      <c r="D47" s="33">
        <v>1</v>
      </c>
      <c r="E47" s="81">
        <v>1</v>
      </c>
      <c r="F47" s="80">
        <f t="shared" si="3"/>
        <v>1288</v>
      </c>
      <c r="G47" s="15">
        <f t="shared" si="3"/>
        <v>1392.015</v>
      </c>
      <c r="H47" s="21">
        <v>1288</v>
      </c>
      <c r="I47" s="21">
        <f>1392015/1000</f>
        <v>1392.015</v>
      </c>
      <c r="J47" s="8"/>
      <c r="K47" s="8"/>
      <c r="L47" s="9"/>
      <c r="M47" s="9"/>
      <c r="N47" s="13"/>
    </row>
    <row r="48" spans="1:14" ht="31.5" outlineLevel="1">
      <c r="A48" s="141" t="s">
        <v>173</v>
      </c>
      <c r="B48" s="56" t="s">
        <v>150</v>
      </c>
      <c r="C48" s="25" t="s">
        <v>80</v>
      </c>
      <c r="D48" s="33">
        <v>1</v>
      </c>
      <c r="E48" s="81">
        <v>1</v>
      </c>
      <c r="F48" s="80">
        <f t="shared" si="3"/>
        <v>4704.736678214285</v>
      </c>
      <c r="G48" s="15">
        <f t="shared" si="3"/>
        <v>4704.73668</v>
      </c>
      <c r="H48" s="21">
        <v>4704.736678214285</v>
      </c>
      <c r="I48" s="21">
        <f>4182590.1/1000+522146.58/1000</f>
        <v>4704.73668</v>
      </c>
      <c r="J48" s="8"/>
      <c r="K48" s="8"/>
      <c r="L48" s="9"/>
      <c r="M48" s="9"/>
      <c r="N48" s="13"/>
    </row>
    <row r="49" spans="1:14" ht="47.25" outlineLevel="1">
      <c r="A49" s="142"/>
      <c r="B49" s="56" t="s">
        <v>151</v>
      </c>
      <c r="C49" s="25" t="s">
        <v>183</v>
      </c>
      <c r="D49" s="33">
        <v>1</v>
      </c>
      <c r="E49" s="81">
        <v>1</v>
      </c>
      <c r="F49" s="80">
        <f t="shared" si="3"/>
        <v>284</v>
      </c>
      <c r="G49" s="15">
        <f t="shared" si="3"/>
        <v>1030.762</v>
      </c>
      <c r="H49" s="21">
        <v>284</v>
      </c>
      <c r="I49" s="21">
        <f>1030762/1000</f>
        <v>1030.762</v>
      </c>
      <c r="J49" s="8"/>
      <c r="K49" s="8"/>
      <c r="L49" s="9"/>
      <c r="M49" s="9"/>
      <c r="N49" s="13"/>
    </row>
    <row r="50" spans="1:14" ht="31.5" outlineLevel="1">
      <c r="A50" s="141" t="s">
        <v>174</v>
      </c>
      <c r="B50" s="56" t="s">
        <v>152</v>
      </c>
      <c r="C50" s="25" t="s">
        <v>80</v>
      </c>
      <c r="D50" s="33">
        <v>1</v>
      </c>
      <c r="E50" s="81">
        <v>1</v>
      </c>
      <c r="F50" s="80">
        <f t="shared" si="3"/>
        <v>6950.643121785713</v>
      </c>
      <c r="G50" s="15">
        <f t="shared" si="3"/>
        <v>6950.643120000001</v>
      </c>
      <c r="H50" s="21">
        <v>6950.643121785713</v>
      </c>
      <c r="I50" s="21">
        <f>5259644.23/1000+1690.99889</f>
        <v>6950.643120000001</v>
      </c>
      <c r="J50" s="8"/>
      <c r="K50" s="8"/>
      <c r="L50" s="9"/>
      <c r="M50" s="9"/>
      <c r="N50" s="13"/>
    </row>
    <row r="51" spans="1:14" ht="47.25" outlineLevel="1">
      <c r="A51" s="142"/>
      <c r="B51" s="56" t="s">
        <v>153</v>
      </c>
      <c r="C51" s="25" t="s">
        <v>183</v>
      </c>
      <c r="D51" s="33">
        <v>1</v>
      </c>
      <c r="E51" s="81">
        <v>1</v>
      </c>
      <c r="F51" s="80">
        <f t="shared" si="3"/>
        <v>1090</v>
      </c>
      <c r="G51" s="15">
        <f t="shared" si="3"/>
        <v>1184.476</v>
      </c>
      <c r="H51" s="21">
        <v>1090</v>
      </c>
      <c r="I51" s="21">
        <f>1184476/1000</f>
        <v>1184.476</v>
      </c>
      <c r="J51" s="8"/>
      <c r="K51" s="8"/>
      <c r="L51" s="9"/>
      <c r="M51" s="9"/>
      <c r="N51" s="13"/>
    </row>
    <row r="52" spans="1:14" ht="31.5" outlineLevel="1">
      <c r="A52" s="141" t="s">
        <v>429</v>
      </c>
      <c r="B52" s="56" t="s">
        <v>154</v>
      </c>
      <c r="C52" s="25" t="s">
        <v>80</v>
      </c>
      <c r="D52" s="33">
        <v>1</v>
      </c>
      <c r="E52" s="81">
        <v>1</v>
      </c>
      <c r="F52" s="80">
        <f t="shared" si="3"/>
        <v>7924.9466410714285</v>
      </c>
      <c r="G52" s="15">
        <f t="shared" si="3"/>
        <v>7924.946639999999</v>
      </c>
      <c r="H52" s="21">
        <v>7924.9466410714285</v>
      </c>
      <c r="I52" s="21">
        <f>5383768.35/1000+2541178.29/1000</f>
        <v>7924.946639999999</v>
      </c>
      <c r="J52" s="8"/>
      <c r="K52" s="8"/>
      <c r="L52" s="9"/>
      <c r="M52" s="9"/>
      <c r="N52" s="13"/>
    </row>
    <row r="53" spans="1:14" ht="47.25" outlineLevel="1">
      <c r="A53" s="142"/>
      <c r="B53" s="56" t="s">
        <v>155</v>
      </c>
      <c r="C53" s="25" t="s">
        <v>183</v>
      </c>
      <c r="D53" s="33">
        <v>1</v>
      </c>
      <c r="E53" s="81">
        <v>1</v>
      </c>
      <c r="F53" s="80">
        <f t="shared" si="3"/>
        <v>293.45</v>
      </c>
      <c r="G53" s="15">
        <f t="shared" si="3"/>
        <v>1229.606</v>
      </c>
      <c r="H53" s="21">
        <v>293.45</v>
      </c>
      <c r="I53" s="21">
        <f>1229606/1000</f>
        <v>1229.606</v>
      </c>
      <c r="J53" s="8"/>
      <c r="K53" s="8"/>
      <c r="L53" s="9"/>
      <c r="M53" s="9"/>
      <c r="N53" s="13"/>
    </row>
    <row r="54" spans="1:14" ht="31.5" outlineLevel="1">
      <c r="A54" s="141" t="s">
        <v>175</v>
      </c>
      <c r="B54" s="56" t="s">
        <v>156</v>
      </c>
      <c r="C54" s="25" t="s">
        <v>80</v>
      </c>
      <c r="D54" s="33">
        <v>1</v>
      </c>
      <c r="E54" s="81">
        <v>1</v>
      </c>
      <c r="F54" s="80">
        <f t="shared" si="3"/>
        <v>9410.263199999998</v>
      </c>
      <c r="G54" s="15">
        <f t="shared" si="3"/>
        <v>9410.2632</v>
      </c>
      <c r="H54" s="21">
        <v>9410.263199999998</v>
      </c>
      <c r="I54" s="21">
        <f>8544205.28/1000+866057.92/1000</f>
        <v>9410.2632</v>
      </c>
      <c r="J54" s="8"/>
      <c r="K54" s="8"/>
      <c r="L54" s="9"/>
      <c r="M54" s="9"/>
      <c r="N54" s="13"/>
    </row>
    <row r="55" spans="1:14" ht="47.25" outlineLevel="1">
      <c r="A55" s="142"/>
      <c r="B55" s="56" t="s">
        <v>157</v>
      </c>
      <c r="C55" s="25" t="s">
        <v>183</v>
      </c>
      <c r="D55" s="33">
        <v>1</v>
      </c>
      <c r="E55" s="81">
        <v>1</v>
      </c>
      <c r="F55" s="80">
        <f t="shared" si="3"/>
        <v>1204</v>
      </c>
      <c r="G55" s="15">
        <f t="shared" si="3"/>
        <v>1165.358</v>
      </c>
      <c r="H55" s="21">
        <v>1204</v>
      </c>
      <c r="I55" s="21">
        <v>1165.358</v>
      </c>
      <c r="J55" s="8"/>
      <c r="K55" s="8"/>
      <c r="L55" s="9"/>
      <c r="M55" s="9"/>
      <c r="N55" s="13"/>
    </row>
    <row r="56" spans="1:14" ht="63" outlineLevel="1">
      <c r="A56" s="141" t="s">
        <v>176</v>
      </c>
      <c r="B56" s="56" t="s">
        <v>158</v>
      </c>
      <c r="C56" s="25" t="s">
        <v>80</v>
      </c>
      <c r="D56" s="33">
        <v>1</v>
      </c>
      <c r="E56" s="81">
        <v>1</v>
      </c>
      <c r="F56" s="80">
        <f t="shared" si="3"/>
        <v>390.48517607142855</v>
      </c>
      <c r="G56" s="15">
        <f t="shared" si="3"/>
        <v>390.48519</v>
      </c>
      <c r="H56" s="21">
        <v>390.48517607142855</v>
      </c>
      <c r="I56" s="21">
        <v>390.48519</v>
      </c>
      <c r="J56" s="8"/>
      <c r="K56" s="8"/>
      <c r="L56" s="9"/>
      <c r="M56" s="9"/>
      <c r="N56" s="13"/>
    </row>
    <row r="57" spans="1:14" ht="78.75" outlineLevel="1">
      <c r="A57" s="142"/>
      <c r="B57" s="56" t="s">
        <v>159</v>
      </c>
      <c r="C57" s="25" t="s">
        <v>183</v>
      </c>
      <c r="D57" s="33">
        <v>1</v>
      </c>
      <c r="E57" s="81">
        <v>1</v>
      </c>
      <c r="F57" s="80">
        <f t="shared" si="3"/>
        <v>134.95</v>
      </c>
      <c r="G57" s="15">
        <f t="shared" si="3"/>
        <v>431.039</v>
      </c>
      <c r="H57" s="21">
        <v>134.95</v>
      </c>
      <c r="I57" s="21">
        <v>431.039</v>
      </c>
      <c r="J57" s="8"/>
      <c r="K57" s="8"/>
      <c r="L57" s="9"/>
      <c r="M57" s="9"/>
      <c r="N57" s="13"/>
    </row>
    <row r="58" spans="1:14" ht="63" outlineLevel="1">
      <c r="A58" s="141" t="s">
        <v>177</v>
      </c>
      <c r="B58" s="56" t="s">
        <v>160</v>
      </c>
      <c r="C58" s="25" t="s">
        <v>80</v>
      </c>
      <c r="D58" s="33">
        <v>1</v>
      </c>
      <c r="E58" s="81">
        <v>1</v>
      </c>
      <c r="F58" s="80">
        <f t="shared" si="3"/>
        <v>575.31475</v>
      </c>
      <c r="G58" s="15">
        <f t="shared" si="3"/>
        <v>575.31475</v>
      </c>
      <c r="H58" s="21">
        <v>575.31475</v>
      </c>
      <c r="I58" s="21">
        <v>575.31475</v>
      </c>
      <c r="J58" s="8"/>
      <c r="K58" s="8"/>
      <c r="L58" s="9"/>
      <c r="M58" s="9"/>
      <c r="N58" s="13"/>
    </row>
    <row r="59" spans="1:14" ht="78.75" outlineLevel="1">
      <c r="A59" s="142"/>
      <c r="B59" s="56" t="s">
        <v>161</v>
      </c>
      <c r="C59" s="25" t="s">
        <v>183</v>
      </c>
      <c r="D59" s="33">
        <v>1</v>
      </c>
      <c r="E59" s="81">
        <v>1</v>
      </c>
      <c r="F59" s="80">
        <f t="shared" si="3"/>
        <v>198.83</v>
      </c>
      <c r="G59" s="15">
        <f t="shared" si="3"/>
        <v>775.376</v>
      </c>
      <c r="H59" s="21">
        <v>198.83</v>
      </c>
      <c r="I59" s="21">
        <v>775.376</v>
      </c>
      <c r="J59" s="8"/>
      <c r="K59" s="8"/>
      <c r="L59" s="9"/>
      <c r="M59" s="9"/>
      <c r="N59" s="13"/>
    </row>
    <row r="60" spans="1:14" ht="78.75" outlineLevel="1">
      <c r="A60" s="75" t="s">
        <v>178</v>
      </c>
      <c r="B60" s="56" t="s">
        <v>162</v>
      </c>
      <c r="C60" s="25" t="s">
        <v>80</v>
      </c>
      <c r="D60" s="33">
        <v>1</v>
      </c>
      <c r="E60" s="81">
        <v>1</v>
      </c>
      <c r="F60" s="80">
        <f t="shared" si="3"/>
        <v>20000</v>
      </c>
      <c r="G60" s="15">
        <f t="shared" si="3"/>
        <v>19830.24986</v>
      </c>
      <c r="H60" s="21">
        <v>20000</v>
      </c>
      <c r="I60" s="21">
        <f>19830249.86/1000</f>
        <v>19830.24986</v>
      </c>
      <c r="J60" s="8"/>
      <c r="K60" s="8"/>
      <c r="L60" s="9"/>
      <c r="M60" s="9"/>
      <c r="N60" s="13"/>
    </row>
    <row r="61" spans="1:14" ht="43.5" customHeight="1" outlineLevel="1">
      <c r="A61" s="141" t="s">
        <v>179</v>
      </c>
      <c r="B61" s="56" t="s">
        <v>163</v>
      </c>
      <c r="C61" s="25" t="s">
        <v>80</v>
      </c>
      <c r="D61" s="33">
        <v>1</v>
      </c>
      <c r="E61" s="81">
        <v>1</v>
      </c>
      <c r="F61" s="80">
        <f t="shared" si="3"/>
        <v>24632.7416</v>
      </c>
      <c r="G61" s="15">
        <f t="shared" si="3"/>
        <v>23352.00961</v>
      </c>
      <c r="H61" s="21">
        <v>24632.7416</v>
      </c>
      <c r="I61" s="21">
        <f>23352009.61/1000</f>
        <v>23352.00961</v>
      </c>
      <c r="J61" s="8"/>
      <c r="K61" s="8"/>
      <c r="L61" s="9"/>
      <c r="M61" s="9"/>
      <c r="N61" s="13"/>
    </row>
    <row r="62" spans="1:14" ht="63" outlineLevel="1">
      <c r="A62" s="142"/>
      <c r="B62" s="56" t="s">
        <v>164</v>
      </c>
      <c r="C62" s="25" t="s">
        <v>183</v>
      </c>
      <c r="D62" s="33">
        <v>1</v>
      </c>
      <c r="E62" s="81">
        <v>0</v>
      </c>
      <c r="F62" s="80">
        <f t="shared" si="3"/>
        <v>1790.84</v>
      </c>
      <c r="G62" s="15">
        <f t="shared" si="3"/>
        <v>0</v>
      </c>
      <c r="H62" s="21">
        <v>1790.84</v>
      </c>
      <c r="I62" s="9"/>
      <c r="J62" s="8"/>
      <c r="K62" s="8"/>
      <c r="L62" s="9"/>
      <c r="M62" s="9"/>
      <c r="N62" s="13"/>
    </row>
    <row r="63" spans="1:14" ht="47.25" outlineLevel="1">
      <c r="A63" s="141" t="s">
        <v>180</v>
      </c>
      <c r="B63" s="56" t="s">
        <v>165</v>
      </c>
      <c r="C63" s="25" t="s">
        <v>80</v>
      </c>
      <c r="D63" s="33">
        <v>1</v>
      </c>
      <c r="E63" s="81">
        <v>1</v>
      </c>
      <c r="F63" s="80">
        <f t="shared" si="3"/>
        <v>27034.29399</v>
      </c>
      <c r="G63" s="15">
        <f t="shared" si="3"/>
        <v>25830.48677</v>
      </c>
      <c r="H63" s="21">
        <v>27034.29399</v>
      </c>
      <c r="I63" s="21">
        <f>25830486.77/1000</f>
        <v>25830.48677</v>
      </c>
      <c r="J63" s="8"/>
      <c r="K63" s="8"/>
      <c r="L63" s="9"/>
      <c r="M63" s="9"/>
      <c r="N63" s="13"/>
    </row>
    <row r="64" spans="1:14" ht="63" outlineLevel="1">
      <c r="A64" s="142"/>
      <c r="B64" s="56" t="s">
        <v>166</v>
      </c>
      <c r="C64" s="25" t="s">
        <v>183</v>
      </c>
      <c r="D64" s="33">
        <v>1</v>
      </c>
      <c r="E64" s="81">
        <v>0</v>
      </c>
      <c r="F64" s="80">
        <f t="shared" si="3"/>
        <v>1864.68</v>
      </c>
      <c r="G64" s="15">
        <f>I64+K64+M64</f>
        <v>0</v>
      </c>
      <c r="H64" s="21">
        <v>1864.68</v>
      </c>
      <c r="I64" s="9"/>
      <c r="J64" s="8"/>
      <c r="K64" s="8"/>
      <c r="L64" s="9"/>
      <c r="M64" s="9"/>
      <c r="N64" s="13"/>
    </row>
    <row r="65" spans="1:14" ht="47.25" outlineLevel="1">
      <c r="A65" s="141" t="s">
        <v>181</v>
      </c>
      <c r="B65" s="56" t="s">
        <v>167</v>
      </c>
      <c r="C65" s="25" t="s">
        <v>80</v>
      </c>
      <c r="D65" s="33">
        <v>1</v>
      </c>
      <c r="E65" s="81">
        <v>1</v>
      </c>
      <c r="F65" s="80">
        <f t="shared" si="3"/>
        <v>8629.77643</v>
      </c>
      <c r="G65" s="15">
        <f t="shared" si="3"/>
        <v>2662.33571</v>
      </c>
      <c r="H65" s="21">
        <v>8629.77643</v>
      </c>
      <c r="I65" s="21">
        <f>2662335.71/1000</f>
        <v>2662.33571</v>
      </c>
      <c r="J65" s="8"/>
      <c r="K65" s="8"/>
      <c r="L65" s="9"/>
      <c r="M65" s="9"/>
      <c r="N65" s="13"/>
    </row>
    <row r="66" spans="1:14" ht="63" outlineLevel="1">
      <c r="A66" s="142"/>
      <c r="B66" s="56" t="s">
        <v>168</v>
      </c>
      <c r="C66" s="25" t="s">
        <v>183</v>
      </c>
      <c r="D66" s="33">
        <v>1</v>
      </c>
      <c r="E66" s="81">
        <v>0</v>
      </c>
      <c r="F66" s="80">
        <f t="shared" si="3"/>
        <v>2149.299</v>
      </c>
      <c r="G66" s="15">
        <f t="shared" si="3"/>
        <v>0</v>
      </c>
      <c r="H66" s="21">
        <v>2149.299</v>
      </c>
      <c r="I66" s="9"/>
      <c r="J66" s="8"/>
      <c r="K66" s="8"/>
      <c r="L66" s="9"/>
      <c r="M66" s="9"/>
      <c r="N66" s="13"/>
    </row>
    <row r="67" spans="1:17" ht="47.25" outlineLevel="1">
      <c r="A67" s="75" t="s">
        <v>182</v>
      </c>
      <c r="B67" s="56" t="s">
        <v>169</v>
      </c>
      <c r="C67" s="25" t="s">
        <v>183</v>
      </c>
      <c r="D67" s="33">
        <v>1</v>
      </c>
      <c r="E67" s="81">
        <v>0</v>
      </c>
      <c r="F67" s="80">
        <f>H67+J67+L67</f>
        <v>4232.8661000003</v>
      </c>
      <c r="G67" s="15">
        <f>I67+K67+M67</f>
        <v>0</v>
      </c>
      <c r="H67" s="21">
        <v>4232.8661000003</v>
      </c>
      <c r="I67" s="9"/>
      <c r="J67" s="8"/>
      <c r="K67" s="8"/>
      <c r="L67" s="9"/>
      <c r="M67" s="9"/>
      <c r="N67" s="13"/>
      <c r="P67" s="16"/>
      <c r="Q67" s="17"/>
    </row>
    <row r="68" spans="1:14" ht="47.25">
      <c r="A68" s="73">
        <v>5</v>
      </c>
      <c r="B68" s="67" t="s">
        <v>16</v>
      </c>
      <c r="C68" s="24" t="s">
        <v>530</v>
      </c>
      <c r="D68" s="28" t="s">
        <v>531</v>
      </c>
      <c r="E68" s="71" t="s">
        <v>709</v>
      </c>
      <c r="F68" s="147">
        <f>H68+J68+L68</f>
        <v>4227359.310109923</v>
      </c>
      <c r="G68" s="123">
        <f>I68+K68+M68</f>
        <v>3921902.34387</v>
      </c>
      <c r="H68" s="125">
        <v>1827359.3101099203</v>
      </c>
      <c r="I68" s="125">
        <v>1554458.53330679</v>
      </c>
      <c r="J68" s="125">
        <v>2400000.000000002</v>
      </c>
      <c r="K68" s="125">
        <v>2367443.81056321</v>
      </c>
      <c r="L68" s="124"/>
      <c r="M68" s="124"/>
      <c r="N68" s="145"/>
    </row>
    <row r="69" spans="1:14" ht="15.75" outlineLevel="1">
      <c r="A69" s="75" t="s">
        <v>185</v>
      </c>
      <c r="B69" s="56" t="s">
        <v>101</v>
      </c>
      <c r="C69" s="25" t="s">
        <v>33</v>
      </c>
      <c r="D69" s="33">
        <v>3</v>
      </c>
      <c r="E69" s="81">
        <v>3</v>
      </c>
      <c r="F69" s="147"/>
      <c r="G69" s="123"/>
      <c r="H69" s="126"/>
      <c r="I69" s="126"/>
      <c r="J69" s="126"/>
      <c r="K69" s="126"/>
      <c r="L69" s="156"/>
      <c r="M69" s="124"/>
      <c r="N69" s="146"/>
    </row>
    <row r="70" spans="1:14" ht="15.75" outlineLevel="1">
      <c r="A70" s="75" t="s">
        <v>186</v>
      </c>
      <c r="B70" s="56" t="s">
        <v>102</v>
      </c>
      <c r="C70" s="25" t="s">
        <v>33</v>
      </c>
      <c r="D70" s="33">
        <v>5</v>
      </c>
      <c r="E70" s="81">
        <v>5</v>
      </c>
      <c r="F70" s="147"/>
      <c r="G70" s="123"/>
      <c r="H70" s="126"/>
      <c r="I70" s="126"/>
      <c r="J70" s="126"/>
      <c r="K70" s="126"/>
      <c r="L70" s="156"/>
      <c r="M70" s="124"/>
      <c r="N70" s="146"/>
    </row>
    <row r="71" spans="1:14" ht="15.75" outlineLevel="1">
      <c r="A71" s="75" t="s">
        <v>187</v>
      </c>
      <c r="B71" s="56" t="s">
        <v>100</v>
      </c>
      <c r="C71" s="25" t="s">
        <v>33</v>
      </c>
      <c r="D71" s="33">
        <v>1</v>
      </c>
      <c r="E71" s="81">
        <v>1</v>
      </c>
      <c r="F71" s="147"/>
      <c r="G71" s="123"/>
      <c r="H71" s="126"/>
      <c r="I71" s="126"/>
      <c r="J71" s="126"/>
      <c r="K71" s="126"/>
      <c r="L71" s="156"/>
      <c r="M71" s="124"/>
      <c r="N71" s="146"/>
    </row>
    <row r="72" spans="1:14" ht="15.75" outlineLevel="1">
      <c r="A72" s="75" t="s">
        <v>188</v>
      </c>
      <c r="B72" s="56" t="s">
        <v>103</v>
      </c>
      <c r="C72" s="25" t="s">
        <v>86</v>
      </c>
      <c r="D72" s="33">
        <v>19</v>
      </c>
      <c r="E72" s="81">
        <f>4+4+4+4+3</f>
        <v>19</v>
      </c>
      <c r="F72" s="147"/>
      <c r="G72" s="123"/>
      <c r="H72" s="126"/>
      <c r="I72" s="126"/>
      <c r="J72" s="126"/>
      <c r="K72" s="126"/>
      <c r="L72" s="156"/>
      <c r="M72" s="124"/>
      <c r="N72" s="146"/>
    </row>
    <row r="73" spans="1:14" ht="15.75" outlineLevel="1">
      <c r="A73" s="75" t="s">
        <v>193</v>
      </c>
      <c r="B73" s="56" t="s">
        <v>94</v>
      </c>
      <c r="C73" s="25" t="s">
        <v>33</v>
      </c>
      <c r="D73" s="33">
        <v>5</v>
      </c>
      <c r="E73" s="81"/>
      <c r="F73" s="147"/>
      <c r="G73" s="123"/>
      <c r="H73" s="126"/>
      <c r="I73" s="126"/>
      <c r="J73" s="126"/>
      <c r="K73" s="126"/>
      <c r="L73" s="156"/>
      <c r="M73" s="124"/>
      <c r="N73" s="146"/>
    </row>
    <row r="74" spans="1:14" ht="15.75" outlineLevel="1">
      <c r="A74" s="75" t="s">
        <v>194</v>
      </c>
      <c r="B74" s="56" t="s">
        <v>95</v>
      </c>
      <c r="C74" s="25" t="s">
        <v>33</v>
      </c>
      <c r="D74" s="33">
        <v>55</v>
      </c>
      <c r="E74" s="81"/>
      <c r="F74" s="147"/>
      <c r="G74" s="123"/>
      <c r="H74" s="126"/>
      <c r="I74" s="126"/>
      <c r="J74" s="126"/>
      <c r="K74" s="126"/>
      <c r="L74" s="156"/>
      <c r="M74" s="124"/>
      <c r="N74" s="146"/>
    </row>
    <row r="75" spans="1:14" ht="15.75" outlineLevel="1">
      <c r="A75" s="75" t="s">
        <v>195</v>
      </c>
      <c r="B75" s="56" t="s">
        <v>92</v>
      </c>
      <c r="C75" s="25" t="s">
        <v>33</v>
      </c>
      <c r="D75" s="33">
        <v>59</v>
      </c>
      <c r="E75" s="81"/>
      <c r="F75" s="147"/>
      <c r="G75" s="123"/>
      <c r="H75" s="126"/>
      <c r="I75" s="126"/>
      <c r="J75" s="126"/>
      <c r="K75" s="126"/>
      <c r="L75" s="156"/>
      <c r="M75" s="124"/>
      <c r="N75" s="146"/>
    </row>
    <row r="76" spans="1:14" ht="31.5" outlineLevel="1">
      <c r="A76" s="75" t="s">
        <v>196</v>
      </c>
      <c r="B76" s="56" t="s">
        <v>93</v>
      </c>
      <c r="C76" s="25" t="s">
        <v>33</v>
      </c>
      <c r="D76" s="33">
        <v>117</v>
      </c>
      <c r="E76" s="81"/>
      <c r="F76" s="147"/>
      <c r="G76" s="123"/>
      <c r="H76" s="126"/>
      <c r="I76" s="126"/>
      <c r="J76" s="126"/>
      <c r="K76" s="126"/>
      <c r="L76" s="156"/>
      <c r="M76" s="124"/>
      <c r="N76" s="146"/>
    </row>
    <row r="77" spans="1:14" ht="31.5" outlineLevel="1">
      <c r="A77" s="75" t="s">
        <v>197</v>
      </c>
      <c r="B77" s="56" t="s">
        <v>96</v>
      </c>
      <c r="C77" s="25" t="s">
        <v>33</v>
      </c>
      <c r="D77" s="33">
        <v>5</v>
      </c>
      <c r="E77" s="81"/>
      <c r="F77" s="147"/>
      <c r="G77" s="123"/>
      <c r="H77" s="126"/>
      <c r="I77" s="126"/>
      <c r="J77" s="126"/>
      <c r="K77" s="126"/>
      <c r="L77" s="156"/>
      <c r="M77" s="124"/>
      <c r="N77" s="146"/>
    </row>
    <row r="78" spans="1:14" ht="31.5" outlineLevel="1">
      <c r="A78" s="75" t="s">
        <v>198</v>
      </c>
      <c r="B78" s="56" t="s">
        <v>97</v>
      </c>
      <c r="C78" s="25" t="s">
        <v>33</v>
      </c>
      <c r="D78" s="33">
        <v>1</v>
      </c>
      <c r="E78" s="81"/>
      <c r="F78" s="147"/>
      <c r="G78" s="123"/>
      <c r="H78" s="126"/>
      <c r="I78" s="126"/>
      <c r="J78" s="126"/>
      <c r="K78" s="126"/>
      <c r="L78" s="156"/>
      <c r="M78" s="124"/>
      <c r="N78" s="146"/>
    </row>
    <row r="79" spans="1:14" ht="15.75" outlineLevel="1">
      <c r="A79" s="75" t="s">
        <v>199</v>
      </c>
      <c r="B79" s="56" t="s">
        <v>99</v>
      </c>
      <c r="C79" s="25" t="s">
        <v>42</v>
      </c>
      <c r="D79" s="33">
        <v>112.125</v>
      </c>
      <c r="E79" s="81">
        <f>1.23+0.245+0.661+0.4701+0.321+0.826+0.47+0.87+0.606+0.111+0.266+0.136+0.927+0.247+1.287+1.859+0.375+0.416+0.1989+0.665+1.695+1.763+1.364+0.605+0.246+0.687+0.48+0.584+0.643+0.32+0.287+0.235+0.215+0.756+2.125+1.798+0.476+0.743+0.457+0.366+0.725+0.914+0.551+0.445+0.83+0.618+0.859+0.425+0.315+0.353+0.622+0.2+0.095+0.17+0.207+0.829+0.685+0.345+4.854+30.789+1.607</f>
        <v>74.47</v>
      </c>
      <c r="F79" s="147"/>
      <c r="G79" s="123"/>
      <c r="H79" s="126"/>
      <c r="I79" s="126"/>
      <c r="J79" s="126"/>
      <c r="K79" s="126"/>
      <c r="L79" s="156"/>
      <c r="M79" s="124"/>
      <c r="N79" s="146"/>
    </row>
    <row r="80" spans="1:14" ht="15.75" outlineLevel="1">
      <c r="A80" s="75" t="s">
        <v>200</v>
      </c>
      <c r="B80" s="56" t="s">
        <v>112</v>
      </c>
      <c r="C80" s="25" t="s">
        <v>42</v>
      </c>
      <c r="D80" s="33">
        <v>28.389</v>
      </c>
      <c r="E80" s="81"/>
      <c r="F80" s="147"/>
      <c r="G80" s="123"/>
      <c r="H80" s="126"/>
      <c r="I80" s="126"/>
      <c r="J80" s="126"/>
      <c r="K80" s="126"/>
      <c r="L80" s="156"/>
      <c r="M80" s="124"/>
      <c r="N80" s="146"/>
    </row>
    <row r="81" spans="1:14" ht="47.25">
      <c r="A81" s="73">
        <v>6</v>
      </c>
      <c r="B81" s="67" t="s">
        <v>522</v>
      </c>
      <c r="C81" s="26" t="s">
        <v>37</v>
      </c>
      <c r="D81" s="23">
        <v>208</v>
      </c>
      <c r="E81" s="72">
        <v>208</v>
      </c>
      <c r="F81" s="80">
        <f>H81+J81+L81</f>
        <v>536836.077088357</v>
      </c>
      <c r="G81" s="15">
        <f>I81+K81+M81</f>
        <v>536836.07698</v>
      </c>
      <c r="H81" s="21">
        <v>536836.077088357</v>
      </c>
      <c r="I81" s="21">
        <v>536836.07698</v>
      </c>
      <c r="J81" s="9"/>
      <c r="K81" s="9"/>
      <c r="L81" s="9"/>
      <c r="M81" s="9"/>
      <c r="N81" s="13"/>
    </row>
    <row r="82" spans="1:14" ht="63">
      <c r="A82" s="73">
        <v>7</v>
      </c>
      <c r="B82" s="67" t="s">
        <v>24</v>
      </c>
      <c r="C82" s="24" t="s">
        <v>530</v>
      </c>
      <c r="D82" s="28" t="s">
        <v>532</v>
      </c>
      <c r="E82" s="71" t="s">
        <v>725</v>
      </c>
      <c r="F82" s="147">
        <f>H82+J82+L82</f>
        <v>77436.51690424583</v>
      </c>
      <c r="G82" s="123">
        <f>I82+K82+M82</f>
        <v>77436.51690999999</v>
      </c>
      <c r="H82" s="125">
        <v>77436.51690424583</v>
      </c>
      <c r="I82" s="125">
        <v>77436.51690999999</v>
      </c>
      <c r="J82" s="124"/>
      <c r="K82" s="124"/>
      <c r="L82" s="124"/>
      <c r="M82" s="124"/>
      <c r="N82" s="145"/>
    </row>
    <row r="83" spans="1:14" ht="15.75" customHeight="1" outlineLevel="1">
      <c r="A83" s="75" t="s">
        <v>189</v>
      </c>
      <c r="B83" s="56" t="s">
        <v>104</v>
      </c>
      <c r="C83" s="25" t="s">
        <v>105</v>
      </c>
      <c r="D83" s="33">
        <v>2</v>
      </c>
      <c r="E83" s="81">
        <v>2</v>
      </c>
      <c r="F83" s="148"/>
      <c r="G83" s="128"/>
      <c r="H83" s="126"/>
      <c r="I83" s="126"/>
      <c r="J83" s="156"/>
      <c r="K83" s="124"/>
      <c r="L83" s="156"/>
      <c r="M83" s="124"/>
      <c r="N83" s="146"/>
    </row>
    <row r="84" spans="1:14" ht="15.75" outlineLevel="1">
      <c r="A84" s="75" t="s">
        <v>190</v>
      </c>
      <c r="B84" s="56" t="s">
        <v>106</v>
      </c>
      <c r="C84" s="25" t="s">
        <v>42</v>
      </c>
      <c r="D84" s="33">
        <v>3.43</v>
      </c>
      <c r="E84" s="81">
        <v>2.017</v>
      </c>
      <c r="F84" s="148"/>
      <c r="G84" s="128"/>
      <c r="H84" s="126"/>
      <c r="I84" s="126"/>
      <c r="J84" s="156"/>
      <c r="K84" s="124"/>
      <c r="L84" s="156"/>
      <c r="M84" s="124"/>
      <c r="N84" s="146"/>
    </row>
    <row r="85" spans="1:14" ht="15.75" outlineLevel="1">
      <c r="A85" s="75" t="s">
        <v>191</v>
      </c>
      <c r="B85" s="56" t="s">
        <v>107</v>
      </c>
      <c r="C85" s="25" t="s">
        <v>86</v>
      </c>
      <c r="D85" s="33">
        <v>17</v>
      </c>
      <c r="E85" s="81">
        <v>17</v>
      </c>
      <c r="F85" s="148"/>
      <c r="G85" s="128"/>
      <c r="H85" s="126"/>
      <c r="I85" s="126"/>
      <c r="J85" s="156"/>
      <c r="K85" s="124"/>
      <c r="L85" s="156"/>
      <c r="M85" s="124"/>
      <c r="N85" s="146"/>
    </row>
    <row r="86" spans="1:14" ht="15.75" outlineLevel="1">
      <c r="A86" s="75"/>
      <c r="B86" s="56" t="s">
        <v>710</v>
      </c>
      <c r="C86" s="25" t="s">
        <v>42</v>
      </c>
      <c r="D86" s="33"/>
      <c r="E86" s="81">
        <v>5.679</v>
      </c>
      <c r="F86" s="148"/>
      <c r="G86" s="128"/>
      <c r="H86" s="126"/>
      <c r="I86" s="126"/>
      <c r="J86" s="156"/>
      <c r="K86" s="124"/>
      <c r="L86" s="156"/>
      <c r="M86" s="124"/>
      <c r="N86" s="146"/>
    </row>
    <row r="87" spans="1:14" ht="15.75" outlineLevel="1">
      <c r="A87" s="75" t="s">
        <v>192</v>
      </c>
      <c r="B87" s="56" t="s">
        <v>108</v>
      </c>
      <c r="C87" s="25" t="s">
        <v>105</v>
      </c>
      <c r="D87" s="33">
        <v>1</v>
      </c>
      <c r="E87" s="81"/>
      <c r="F87" s="148"/>
      <c r="G87" s="128"/>
      <c r="H87" s="126"/>
      <c r="I87" s="126"/>
      <c r="J87" s="156"/>
      <c r="K87" s="124"/>
      <c r="L87" s="156"/>
      <c r="M87" s="124"/>
      <c r="N87" s="146"/>
    </row>
    <row r="88" spans="1:14" ht="63">
      <c r="A88" s="73">
        <v>8</v>
      </c>
      <c r="B88" s="67" t="s">
        <v>25</v>
      </c>
      <c r="C88" s="24" t="s">
        <v>530</v>
      </c>
      <c r="D88" s="28" t="s">
        <v>533</v>
      </c>
      <c r="E88" s="71" t="s">
        <v>713</v>
      </c>
      <c r="F88" s="147">
        <f>H88+J88+L88</f>
        <v>47951.90103781803</v>
      </c>
      <c r="G88" s="123">
        <f>I88+K88+M88</f>
        <v>47951.90103000001</v>
      </c>
      <c r="H88" s="125">
        <v>47951.90103781803</v>
      </c>
      <c r="I88" s="125">
        <v>47951.90103000001</v>
      </c>
      <c r="J88" s="124"/>
      <c r="K88" s="124"/>
      <c r="L88" s="124"/>
      <c r="M88" s="124"/>
      <c r="N88" s="145"/>
    </row>
    <row r="89" spans="1:14" ht="21.75" customHeight="1">
      <c r="A89" s="75" t="s">
        <v>66</v>
      </c>
      <c r="B89" s="56" t="s">
        <v>104</v>
      </c>
      <c r="C89" s="24" t="s">
        <v>105</v>
      </c>
      <c r="D89" s="28"/>
      <c r="E89" s="82">
        <v>4</v>
      </c>
      <c r="F89" s="147"/>
      <c r="G89" s="123"/>
      <c r="H89" s="125"/>
      <c r="I89" s="125"/>
      <c r="J89" s="124"/>
      <c r="K89" s="124"/>
      <c r="L89" s="124"/>
      <c r="M89" s="124"/>
      <c r="N89" s="145"/>
    </row>
    <row r="90" spans="1:14" ht="15.75" outlineLevel="1">
      <c r="A90" s="75" t="s">
        <v>67</v>
      </c>
      <c r="B90" s="56" t="s">
        <v>106</v>
      </c>
      <c r="C90" s="25" t="s">
        <v>42</v>
      </c>
      <c r="D90" s="33">
        <v>2.43</v>
      </c>
      <c r="E90" s="81"/>
      <c r="F90" s="148"/>
      <c r="G90" s="123"/>
      <c r="H90" s="126"/>
      <c r="I90" s="126"/>
      <c r="J90" s="156"/>
      <c r="K90" s="124"/>
      <c r="L90" s="156"/>
      <c r="M90" s="124"/>
      <c r="N90" s="146"/>
    </row>
    <row r="91" spans="1:14" ht="15.75" outlineLevel="1">
      <c r="A91" s="75"/>
      <c r="B91" s="56" t="s">
        <v>712</v>
      </c>
      <c r="C91" s="25" t="s">
        <v>42</v>
      </c>
      <c r="D91" s="33"/>
      <c r="E91" s="33">
        <v>0.9493</v>
      </c>
      <c r="F91" s="148"/>
      <c r="G91" s="123"/>
      <c r="H91" s="126"/>
      <c r="I91" s="126"/>
      <c r="J91" s="156"/>
      <c r="K91" s="124"/>
      <c r="L91" s="156"/>
      <c r="M91" s="124"/>
      <c r="N91" s="146"/>
    </row>
    <row r="92" spans="1:14" ht="15.75" outlineLevel="1">
      <c r="A92" s="75" t="s">
        <v>68</v>
      </c>
      <c r="B92" s="56" t="s">
        <v>107</v>
      </c>
      <c r="C92" s="25" t="s">
        <v>86</v>
      </c>
      <c r="D92" s="33">
        <v>6</v>
      </c>
      <c r="E92" s="81"/>
      <c r="F92" s="148"/>
      <c r="G92" s="123"/>
      <c r="H92" s="126"/>
      <c r="I92" s="126"/>
      <c r="J92" s="156"/>
      <c r="K92" s="124"/>
      <c r="L92" s="156"/>
      <c r="M92" s="124"/>
      <c r="N92" s="146"/>
    </row>
    <row r="93" spans="1:14" ht="19.5" customHeight="1" outlineLevel="1">
      <c r="A93" s="75" t="s">
        <v>69</v>
      </c>
      <c r="B93" s="56" t="s">
        <v>108</v>
      </c>
      <c r="C93" s="25" t="s">
        <v>105</v>
      </c>
      <c r="D93" s="33">
        <v>1</v>
      </c>
      <c r="E93" s="81"/>
      <c r="F93" s="148"/>
      <c r="G93" s="123"/>
      <c r="H93" s="126"/>
      <c r="I93" s="126"/>
      <c r="J93" s="156"/>
      <c r="K93" s="124"/>
      <c r="L93" s="156"/>
      <c r="M93" s="124"/>
      <c r="N93" s="146"/>
    </row>
    <row r="94" spans="1:14" ht="17.25" customHeight="1" outlineLevel="1">
      <c r="A94" s="75" t="s">
        <v>711</v>
      </c>
      <c r="B94" s="56" t="s">
        <v>122</v>
      </c>
      <c r="C94" s="25" t="s">
        <v>105</v>
      </c>
      <c r="D94" s="33">
        <v>1</v>
      </c>
      <c r="E94" s="81"/>
      <c r="F94" s="148"/>
      <c r="G94" s="123"/>
      <c r="H94" s="126"/>
      <c r="I94" s="126"/>
      <c r="J94" s="156"/>
      <c r="K94" s="124"/>
      <c r="L94" s="156"/>
      <c r="M94" s="124"/>
      <c r="N94" s="146"/>
    </row>
    <row r="95" spans="1:14" ht="31.5">
      <c r="A95" s="73">
        <v>9</v>
      </c>
      <c r="B95" s="67" t="s">
        <v>9</v>
      </c>
      <c r="C95" s="24" t="s">
        <v>528</v>
      </c>
      <c r="D95" s="28" t="s">
        <v>534</v>
      </c>
      <c r="E95" s="71"/>
      <c r="F95" s="147">
        <f>H95+J95+L95</f>
        <v>130056.36867518286</v>
      </c>
      <c r="G95" s="123"/>
      <c r="H95" s="125">
        <v>130056.36867518286</v>
      </c>
      <c r="I95" s="124"/>
      <c r="J95" s="124"/>
      <c r="K95" s="124"/>
      <c r="L95" s="124"/>
      <c r="M95" s="124"/>
      <c r="N95" s="145"/>
    </row>
    <row r="96" spans="1:14" ht="15.75" outlineLevel="1">
      <c r="A96" s="76" t="s">
        <v>201</v>
      </c>
      <c r="B96" s="56" t="s">
        <v>65</v>
      </c>
      <c r="C96" s="25" t="s">
        <v>86</v>
      </c>
      <c r="D96" s="33">
        <v>3</v>
      </c>
      <c r="E96" s="81"/>
      <c r="F96" s="148"/>
      <c r="G96" s="123"/>
      <c r="H96" s="126"/>
      <c r="I96" s="124"/>
      <c r="J96" s="156"/>
      <c r="K96" s="124"/>
      <c r="L96" s="156"/>
      <c r="M96" s="124"/>
      <c r="N96" s="146"/>
    </row>
    <row r="97" spans="1:14" ht="15.75" outlineLevel="1">
      <c r="A97" s="76" t="s">
        <v>202</v>
      </c>
      <c r="B97" s="56" t="s">
        <v>64</v>
      </c>
      <c r="C97" s="25" t="s">
        <v>42</v>
      </c>
      <c r="D97" s="33">
        <v>3.511</v>
      </c>
      <c r="E97" s="81"/>
      <c r="F97" s="148"/>
      <c r="G97" s="123"/>
      <c r="H97" s="126"/>
      <c r="I97" s="124"/>
      <c r="J97" s="156"/>
      <c r="K97" s="124"/>
      <c r="L97" s="156"/>
      <c r="M97" s="124"/>
      <c r="N97" s="146"/>
    </row>
    <row r="98" spans="1:14" ht="94.5">
      <c r="A98" s="73">
        <v>10</v>
      </c>
      <c r="B98" s="67" t="s">
        <v>12</v>
      </c>
      <c r="C98" s="24" t="s">
        <v>535</v>
      </c>
      <c r="D98" s="28" t="s">
        <v>536</v>
      </c>
      <c r="E98" s="71"/>
      <c r="F98" s="147">
        <f>H98+J98+L98</f>
        <v>334442.124</v>
      </c>
      <c r="G98" s="123"/>
      <c r="H98" s="125">
        <v>334442.124</v>
      </c>
      <c r="I98" s="124"/>
      <c r="J98" s="124"/>
      <c r="K98" s="124"/>
      <c r="L98" s="124"/>
      <c r="M98" s="124"/>
      <c r="N98" s="145"/>
    </row>
    <row r="99" spans="1:14" ht="15.75" outlineLevel="1">
      <c r="A99" s="75" t="s">
        <v>70</v>
      </c>
      <c r="B99" s="56" t="s">
        <v>75</v>
      </c>
      <c r="C99" s="25" t="s">
        <v>33</v>
      </c>
      <c r="D99" s="33">
        <v>3</v>
      </c>
      <c r="E99" s="81"/>
      <c r="F99" s="148"/>
      <c r="G99" s="123"/>
      <c r="H99" s="126"/>
      <c r="I99" s="124"/>
      <c r="J99" s="156"/>
      <c r="K99" s="124"/>
      <c r="L99" s="156"/>
      <c r="M99" s="124"/>
      <c r="N99" s="146"/>
    </row>
    <row r="100" spans="1:14" ht="15.75" outlineLevel="1">
      <c r="A100" s="75" t="s">
        <v>203</v>
      </c>
      <c r="B100" s="56" t="s">
        <v>131</v>
      </c>
      <c r="C100" s="25" t="s">
        <v>33</v>
      </c>
      <c r="D100" s="33">
        <v>2</v>
      </c>
      <c r="E100" s="81"/>
      <c r="F100" s="148"/>
      <c r="G100" s="123"/>
      <c r="H100" s="126"/>
      <c r="I100" s="124"/>
      <c r="J100" s="156"/>
      <c r="K100" s="124"/>
      <c r="L100" s="156"/>
      <c r="M100" s="124"/>
      <c r="N100" s="146"/>
    </row>
    <row r="101" spans="1:14" ht="15.75" outlineLevel="1">
      <c r="A101" s="75" t="s">
        <v>204</v>
      </c>
      <c r="B101" s="56" t="s">
        <v>129</v>
      </c>
      <c r="C101" s="25" t="s">
        <v>33</v>
      </c>
      <c r="D101" s="33">
        <v>1</v>
      </c>
      <c r="E101" s="81"/>
      <c r="F101" s="148"/>
      <c r="G101" s="123"/>
      <c r="H101" s="126"/>
      <c r="I101" s="124"/>
      <c r="J101" s="156"/>
      <c r="K101" s="124"/>
      <c r="L101" s="156"/>
      <c r="M101" s="124"/>
      <c r="N101" s="146"/>
    </row>
    <row r="102" spans="1:14" ht="15.75" outlineLevel="1">
      <c r="A102" s="75" t="s">
        <v>205</v>
      </c>
      <c r="B102" s="56" t="s">
        <v>130</v>
      </c>
      <c r="C102" s="25" t="s">
        <v>33</v>
      </c>
      <c r="D102" s="33">
        <v>1</v>
      </c>
      <c r="E102" s="81"/>
      <c r="F102" s="148"/>
      <c r="G102" s="123"/>
      <c r="H102" s="126"/>
      <c r="I102" s="124"/>
      <c r="J102" s="156"/>
      <c r="K102" s="124"/>
      <c r="L102" s="156"/>
      <c r="M102" s="124"/>
      <c r="N102" s="146"/>
    </row>
    <row r="103" spans="1:14" ht="15.75" outlineLevel="1">
      <c r="A103" s="75" t="s">
        <v>206</v>
      </c>
      <c r="B103" s="56" t="s">
        <v>132</v>
      </c>
      <c r="C103" s="25" t="s">
        <v>33</v>
      </c>
      <c r="D103" s="33">
        <v>1</v>
      </c>
      <c r="E103" s="81"/>
      <c r="F103" s="148"/>
      <c r="G103" s="123"/>
      <c r="H103" s="126"/>
      <c r="I103" s="124"/>
      <c r="J103" s="156"/>
      <c r="K103" s="124"/>
      <c r="L103" s="156"/>
      <c r="M103" s="124"/>
      <c r="N103" s="146"/>
    </row>
    <row r="104" spans="1:14" ht="15.75" outlineLevel="1">
      <c r="A104" s="75" t="s">
        <v>207</v>
      </c>
      <c r="B104" s="56" t="s">
        <v>134</v>
      </c>
      <c r="C104" s="25" t="s">
        <v>86</v>
      </c>
      <c r="D104" s="33">
        <v>2044</v>
      </c>
      <c r="E104" s="81"/>
      <c r="F104" s="148"/>
      <c r="G104" s="123"/>
      <c r="H104" s="126"/>
      <c r="I104" s="124"/>
      <c r="J104" s="156"/>
      <c r="K104" s="124"/>
      <c r="L104" s="156"/>
      <c r="M104" s="124"/>
      <c r="N104" s="146"/>
    </row>
    <row r="105" spans="1:14" ht="15.75" outlineLevel="1">
      <c r="A105" s="75" t="s">
        <v>208</v>
      </c>
      <c r="B105" s="56" t="s">
        <v>135</v>
      </c>
      <c r="C105" s="25" t="s">
        <v>86</v>
      </c>
      <c r="D105" s="33">
        <v>1889</v>
      </c>
      <c r="E105" s="81"/>
      <c r="F105" s="148"/>
      <c r="G105" s="123"/>
      <c r="H105" s="126"/>
      <c r="I105" s="124"/>
      <c r="J105" s="156"/>
      <c r="K105" s="124"/>
      <c r="L105" s="156"/>
      <c r="M105" s="124"/>
      <c r="N105" s="146"/>
    </row>
    <row r="106" spans="1:14" ht="15.75" outlineLevel="1">
      <c r="A106" s="75" t="s">
        <v>209</v>
      </c>
      <c r="B106" s="56" t="s">
        <v>133</v>
      </c>
      <c r="C106" s="25" t="s">
        <v>42</v>
      </c>
      <c r="D106" s="33">
        <v>154.5</v>
      </c>
      <c r="E106" s="81"/>
      <c r="F106" s="148"/>
      <c r="G106" s="123"/>
      <c r="H106" s="126"/>
      <c r="I106" s="124"/>
      <c r="J106" s="156"/>
      <c r="K106" s="124"/>
      <c r="L106" s="156"/>
      <c r="M106" s="124"/>
      <c r="N106" s="146"/>
    </row>
    <row r="107" spans="1:14" ht="94.5">
      <c r="A107" s="73">
        <v>11</v>
      </c>
      <c r="B107" s="67" t="s">
        <v>518</v>
      </c>
      <c r="C107" s="24" t="s">
        <v>721</v>
      </c>
      <c r="D107" s="23">
        <v>54</v>
      </c>
      <c r="E107" s="71" t="s">
        <v>720</v>
      </c>
      <c r="F107" s="165">
        <f>H107+J107+L107</f>
        <v>978286.122331786</v>
      </c>
      <c r="G107" s="168">
        <f>I107+K107+M107</f>
        <v>3923470.753138006</v>
      </c>
      <c r="H107" s="171">
        <v>978286.122331786</v>
      </c>
      <c r="I107" s="129">
        <v>978286.122331786</v>
      </c>
      <c r="J107" s="129"/>
      <c r="K107" s="129"/>
      <c r="L107" s="129"/>
      <c r="M107" s="129">
        <v>2945184.63080622</v>
      </c>
      <c r="N107" s="162"/>
    </row>
    <row r="108" spans="1:14" ht="15.75" outlineLevel="1">
      <c r="A108" s="75" t="s">
        <v>71</v>
      </c>
      <c r="B108" s="56" t="s">
        <v>89</v>
      </c>
      <c r="C108" s="25" t="s">
        <v>33</v>
      </c>
      <c r="D108" s="33">
        <v>22</v>
      </c>
      <c r="E108" s="81">
        <v>22</v>
      </c>
      <c r="F108" s="166"/>
      <c r="G108" s="169"/>
      <c r="H108" s="172"/>
      <c r="I108" s="130"/>
      <c r="J108" s="130"/>
      <c r="K108" s="130"/>
      <c r="L108" s="130"/>
      <c r="M108" s="130"/>
      <c r="N108" s="163"/>
    </row>
    <row r="109" spans="1:14" ht="15.75" outlineLevel="1">
      <c r="A109" s="75" t="s">
        <v>72</v>
      </c>
      <c r="B109" s="56" t="s">
        <v>91</v>
      </c>
      <c r="C109" s="25" t="s">
        <v>33</v>
      </c>
      <c r="D109" s="33">
        <v>18</v>
      </c>
      <c r="E109" s="81">
        <v>18</v>
      </c>
      <c r="F109" s="166"/>
      <c r="G109" s="169"/>
      <c r="H109" s="172"/>
      <c r="I109" s="130"/>
      <c r="J109" s="130"/>
      <c r="K109" s="130"/>
      <c r="L109" s="130"/>
      <c r="M109" s="130"/>
      <c r="N109" s="163"/>
    </row>
    <row r="110" spans="1:14" ht="15.75" outlineLevel="1">
      <c r="A110" s="75" t="s">
        <v>73</v>
      </c>
      <c r="B110" s="56" t="s">
        <v>90</v>
      </c>
      <c r="C110" s="25" t="s">
        <v>33</v>
      </c>
      <c r="D110" s="33">
        <v>10</v>
      </c>
      <c r="E110" s="81">
        <v>132</v>
      </c>
      <c r="F110" s="166"/>
      <c r="G110" s="169"/>
      <c r="H110" s="172"/>
      <c r="I110" s="130"/>
      <c r="J110" s="130"/>
      <c r="K110" s="130"/>
      <c r="L110" s="130"/>
      <c r="M110" s="130"/>
      <c r="N110" s="163"/>
    </row>
    <row r="111" spans="1:14" ht="15.75" outlineLevel="1">
      <c r="A111" s="75" t="s">
        <v>210</v>
      </c>
      <c r="B111" s="56" t="s">
        <v>92</v>
      </c>
      <c r="C111" s="25" t="s">
        <v>33</v>
      </c>
      <c r="D111" s="33">
        <v>1</v>
      </c>
      <c r="E111" s="81">
        <v>61</v>
      </c>
      <c r="F111" s="166"/>
      <c r="G111" s="169"/>
      <c r="H111" s="172"/>
      <c r="I111" s="130"/>
      <c r="J111" s="130"/>
      <c r="K111" s="130"/>
      <c r="L111" s="130"/>
      <c r="M111" s="130"/>
      <c r="N111" s="163"/>
    </row>
    <row r="112" spans="1:14" ht="31.5" outlineLevel="1">
      <c r="A112" s="75" t="s">
        <v>211</v>
      </c>
      <c r="B112" s="56" t="s">
        <v>93</v>
      </c>
      <c r="C112" s="25" t="s">
        <v>33</v>
      </c>
      <c r="D112" s="33">
        <v>3</v>
      </c>
      <c r="E112" s="81"/>
      <c r="F112" s="166"/>
      <c r="G112" s="169"/>
      <c r="H112" s="172"/>
      <c r="I112" s="130"/>
      <c r="J112" s="130"/>
      <c r="K112" s="130"/>
      <c r="L112" s="130"/>
      <c r="M112" s="130"/>
      <c r="N112" s="163"/>
    </row>
    <row r="113" spans="1:14" ht="15.75" outlineLevel="1">
      <c r="A113" s="75" t="s">
        <v>717</v>
      </c>
      <c r="B113" s="56" t="s">
        <v>714</v>
      </c>
      <c r="C113" s="25" t="s">
        <v>37</v>
      </c>
      <c r="D113" s="33"/>
      <c r="E113" s="81">
        <v>166</v>
      </c>
      <c r="F113" s="166"/>
      <c r="G113" s="169"/>
      <c r="H113" s="172"/>
      <c r="I113" s="130"/>
      <c r="J113" s="130"/>
      <c r="K113" s="130"/>
      <c r="L113" s="130"/>
      <c r="M113" s="130"/>
      <c r="N113" s="163"/>
    </row>
    <row r="114" spans="1:14" ht="15.75" outlineLevel="1">
      <c r="A114" s="75" t="s">
        <v>718</v>
      </c>
      <c r="B114" s="56" t="s">
        <v>716</v>
      </c>
      <c r="C114" s="25" t="s">
        <v>33</v>
      </c>
      <c r="D114" s="33"/>
      <c r="E114" s="81">
        <v>5</v>
      </c>
      <c r="F114" s="166"/>
      <c r="G114" s="169"/>
      <c r="H114" s="172"/>
      <c r="I114" s="130"/>
      <c r="J114" s="130"/>
      <c r="K114" s="130"/>
      <c r="L114" s="130"/>
      <c r="M114" s="130"/>
      <c r="N114" s="163"/>
    </row>
    <row r="115" spans="1:14" ht="15.75" outlineLevel="1">
      <c r="A115" s="75" t="s">
        <v>719</v>
      </c>
      <c r="B115" s="56" t="s">
        <v>715</v>
      </c>
      <c r="C115" s="25" t="s">
        <v>42</v>
      </c>
      <c r="D115" s="33"/>
      <c r="E115" s="117">
        <f>1.05357+0.39</f>
        <v>1.4435699999999998</v>
      </c>
      <c r="F115" s="167"/>
      <c r="G115" s="170"/>
      <c r="H115" s="173"/>
      <c r="I115" s="131"/>
      <c r="J115" s="131"/>
      <c r="K115" s="131"/>
      <c r="L115" s="131"/>
      <c r="M115" s="131"/>
      <c r="N115" s="164"/>
    </row>
    <row r="116" spans="1:14" ht="63">
      <c r="A116" s="73">
        <v>12</v>
      </c>
      <c r="B116" s="67" t="s">
        <v>519</v>
      </c>
      <c r="C116" s="25" t="s">
        <v>86</v>
      </c>
      <c r="D116" s="33">
        <v>120</v>
      </c>
      <c r="E116" s="33">
        <v>120</v>
      </c>
      <c r="F116" s="80">
        <f>H116+J116+L116</f>
        <v>199662.601890928</v>
      </c>
      <c r="G116" s="15">
        <f>I116+K116+M116</f>
        <v>199662.60129</v>
      </c>
      <c r="H116" s="21">
        <v>199662.601890928</v>
      </c>
      <c r="I116" s="9">
        <v>199662.60129</v>
      </c>
      <c r="J116" s="9"/>
      <c r="K116" s="9"/>
      <c r="L116" s="9"/>
      <c r="M116" s="9"/>
      <c r="N116" s="13"/>
    </row>
    <row r="117" spans="1:14" ht="47.25">
      <c r="A117" s="73">
        <v>13</v>
      </c>
      <c r="B117" s="67" t="s">
        <v>520</v>
      </c>
      <c r="C117" s="26" t="s">
        <v>42</v>
      </c>
      <c r="D117" s="23">
        <v>13.26</v>
      </c>
      <c r="E117" s="72"/>
      <c r="F117" s="147">
        <f>H117+J117+L117</f>
        <v>358543.6039821433</v>
      </c>
      <c r="G117" s="123">
        <f>I117+K117+M117</f>
        <v>0</v>
      </c>
      <c r="H117" s="125">
        <v>358543.6039821433</v>
      </c>
      <c r="I117" s="124"/>
      <c r="J117" s="124"/>
      <c r="K117" s="124"/>
      <c r="L117" s="124"/>
      <c r="M117" s="124"/>
      <c r="N117" s="145"/>
    </row>
    <row r="118" spans="1:14" ht="15.75" outlineLevel="1">
      <c r="A118" s="75" t="s">
        <v>212</v>
      </c>
      <c r="B118" s="56" t="s">
        <v>123</v>
      </c>
      <c r="C118" s="25" t="s">
        <v>42</v>
      </c>
      <c r="D118" s="34">
        <v>13.26</v>
      </c>
      <c r="E118" s="83"/>
      <c r="F118" s="148"/>
      <c r="G118" s="123"/>
      <c r="H118" s="126"/>
      <c r="I118" s="124"/>
      <c r="J118" s="156"/>
      <c r="K118" s="124"/>
      <c r="L118" s="156"/>
      <c r="M118" s="124"/>
      <c r="N118" s="146"/>
    </row>
    <row r="119" spans="1:14" ht="31.5">
      <c r="A119" s="73">
        <v>14</v>
      </c>
      <c r="B119" s="67" t="s">
        <v>10</v>
      </c>
      <c r="C119" s="24" t="s">
        <v>184</v>
      </c>
      <c r="D119" s="28" t="s">
        <v>537</v>
      </c>
      <c r="E119" s="28" t="s">
        <v>537</v>
      </c>
      <c r="F119" s="80">
        <f aca="true" t="shared" si="4" ref="F119:G122">H119+J119+L119</f>
        <v>76024.4756180714</v>
      </c>
      <c r="G119" s="15">
        <f t="shared" si="4"/>
        <v>62460.09639</v>
      </c>
      <c r="H119" s="21">
        <f aca="true" t="shared" si="5" ref="H119:M119">H120+H121</f>
        <v>76024.4756180714</v>
      </c>
      <c r="I119" s="9">
        <f t="shared" si="5"/>
        <v>62460.09639</v>
      </c>
      <c r="J119" s="9">
        <f t="shared" si="5"/>
        <v>0</v>
      </c>
      <c r="K119" s="9">
        <f t="shared" si="5"/>
        <v>0</v>
      </c>
      <c r="L119" s="9">
        <f t="shared" si="5"/>
        <v>0</v>
      </c>
      <c r="M119" s="9">
        <f t="shared" si="5"/>
        <v>0</v>
      </c>
      <c r="N119" s="13"/>
    </row>
    <row r="120" spans="1:14" ht="78.75" outlineLevel="1">
      <c r="A120" s="141" t="s">
        <v>74</v>
      </c>
      <c r="B120" s="69" t="s">
        <v>213</v>
      </c>
      <c r="C120" s="25" t="s">
        <v>80</v>
      </c>
      <c r="D120" s="33">
        <v>1</v>
      </c>
      <c r="E120" s="33">
        <v>1</v>
      </c>
      <c r="F120" s="80">
        <f t="shared" si="4"/>
        <v>74353.4756180714</v>
      </c>
      <c r="G120" s="15">
        <f t="shared" si="4"/>
        <v>59962.30939</v>
      </c>
      <c r="H120" s="21">
        <v>74353.4756180714</v>
      </c>
      <c r="I120" s="9">
        <f>59962309.39/1000</f>
        <v>59962.30939</v>
      </c>
      <c r="J120" s="9"/>
      <c r="K120" s="9"/>
      <c r="L120" s="9"/>
      <c r="M120" s="9"/>
      <c r="N120" s="13"/>
    </row>
    <row r="121" spans="1:14" ht="94.5" outlineLevel="1">
      <c r="A121" s="143"/>
      <c r="B121" s="69" t="s">
        <v>214</v>
      </c>
      <c r="C121" s="25" t="s">
        <v>183</v>
      </c>
      <c r="D121" s="33">
        <v>1</v>
      </c>
      <c r="E121" s="33">
        <v>1</v>
      </c>
      <c r="F121" s="80">
        <f t="shared" si="4"/>
        <v>1671</v>
      </c>
      <c r="G121" s="15">
        <f t="shared" si="4"/>
        <v>2497.787</v>
      </c>
      <c r="H121" s="21">
        <v>1671</v>
      </c>
      <c r="I121" s="9">
        <f>2497787/1000</f>
        <v>2497.787</v>
      </c>
      <c r="J121" s="9"/>
      <c r="K121" s="9"/>
      <c r="L121" s="9"/>
      <c r="M121" s="9"/>
      <c r="N121" s="13"/>
    </row>
    <row r="122" spans="1:14" ht="31.5">
      <c r="A122" s="73">
        <v>15</v>
      </c>
      <c r="B122" s="70" t="s">
        <v>84</v>
      </c>
      <c r="C122" s="26" t="s">
        <v>37</v>
      </c>
      <c r="D122" s="23">
        <v>2</v>
      </c>
      <c r="E122" s="23">
        <v>2</v>
      </c>
      <c r="F122" s="147">
        <f t="shared" si="4"/>
        <v>110000</v>
      </c>
      <c r="G122" s="123">
        <f t="shared" si="4"/>
        <v>110000</v>
      </c>
      <c r="H122" s="125">
        <v>110000</v>
      </c>
      <c r="I122" s="124">
        <v>110000</v>
      </c>
      <c r="J122" s="124"/>
      <c r="K122" s="124"/>
      <c r="L122" s="124"/>
      <c r="M122" s="124"/>
      <c r="N122" s="145"/>
    </row>
    <row r="123" spans="1:14" ht="31.5" outlineLevel="1">
      <c r="A123" s="76" t="s">
        <v>76</v>
      </c>
      <c r="B123" s="68" t="s">
        <v>523</v>
      </c>
      <c r="C123" s="25" t="s">
        <v>37</v>
      </c>
      <c r="D123" s="33">
        <v>1</v>
      </c>
      <c r="E123" s="33">
        <v>1</v>
      </c>
      <c r="F123" s="148"/>
      <c r="G123" s="123"/>
      <c r="H123" s="126"/>
      <c r="I123" s="124"/>
      <c r="J123" s="156"/>
      <c r="K123" s="124"/>
      <c r="L123" s="156"/>
      <c r="M123" s="124"/>
      <c r="N123" s="146"/>
    </row>
    <row r="124" spans="1:14" ht="47.25" outlineLevel="1">
      <c r="A124" s="75" t="s">
        <v>77</v>
      </c>
      <c r="B124" s="68" t="s">
        <v>521</v>
      </c>
      <c r="C124" s="25" t="s">
        <v>37</v>
      </c>
      <c r="D124" s="33">
        <v>1</v>
      </c>
      <c r="E124" s="33">
        <v>1</v>
      </c>
      <c r="F124" s="148"/>
      <c r="G124" s="123"/>
      <c r="H124" s="126"/>
      <c r="I124" s="124"/>
      <c r="J124" s="156"/>
      <c r="K124" s="124"/>
      <c r="L124" s="156"/>
      <c r="M124" s="124"/>
      <c r="N124" s="146"/>
    </row>
    <row r="125" spans="1:14" ht="31.5">
      <c r="A125" s="73">
        <v>16</v>
      </c>
      <c r="B125" s="67" t="s">
        <v>11</v>
      </c>
      <c r="C125" s="24" t="s">
        <v>528</v>
      </c>
      <c r="D125" s="28" t="s">
        <v>538</v>
      </c>
      <c r="E125" s="118" t="s">
        <v>705</v>
      </c>
      <c r="F125" s="147">
        <f>H125+J125+L125</f>
        <v>659675.441553283</v>
      </c>
      <c r="G125" s="123">
        <f>I125+K125+M125</f>
        <v>298870.31033</v>
      </c>
      <c r="H125" s="125">
        <v>659675.441553283</v>
      </c>
      <c r="I125" s="124">
        <v>298870.31033</v>
      </c>
      <c r="J125" s="124"/>
      <c r="K125" s="124"/>
      <c r="L125" s="124"/>
      <c r="M125" s="124"/>
      <c r="N125" s="145"/>
    </row>
    <row r="126" spans="1:14" ht="15.75" outlineLevel="1">
      <c r="A126" s="75" t="s">
        <v>215</v>
      </c>
      <c r="B126" s="56" t="s">
        <v>124</v>
      </c>
      <c r="C126" s="25" t="s">
        <v>37</v>
      </c>
      <c r="D126" s="33">
        <v>2</v>
      </c>
      <c r="E126" s="81"/>
      <c r="F126" s="148"/>
      <c r="G126" s="123"/>
      <c r="H126" s="126"/>
      <c r="I126" s="124"/>
      <c r="J126" s="156"/>
      <c r="K126" s="124"/>
      <c r="L126" s="156"/>
      <c r="M126" s="124"/>
      <c r="N126" s="146"/>
    </row>
    <row r="127" spans="1:14" ht="15.75" outlineLevel="1">
      <c r="A127" s="75" t="s">
        <v>216</v>
      </c>
      <c r="B127" s="56" t="s">
        <v>127</v>
      </c>
      <c r="C127" s="25" t="s">
        <v>37</v>
      </c>
      <c r="D127" s="33">
        <v>1</v>
      </c>
      <c r="E127" s="81"/>
      <c r="F127" s="148"/>
      <c r="G127" s="123"/>
      <c r="H127" s="126"/>
      <c r="I127" s="124"/>
      <c r="J127" s="156"/>
      <c r="K127" s="124"/>
      <c r="L127" s="156"/>
      <c r="M127" s="124"/>
      <c r="N127" s="146"/>
    </row>
    <row r="128" spans="1:14" ht="15.75" outlineLevel="1">
      <c r="A128" s="75" t="s">
        <v>217</v>
      </c>
      <c r="B128" s="56" t="s">
        <v>99</v>
      </c>
      <c r="C128" s="25" t="s">
        <v>42</v>
      </c>
      <c r="D128" s="33">
        <v>79.17</v>
      </c>
      <c r="E128" s="81">
        <v>8.13</v>
      </c>
      <c r="F128" s="148"/>
      <c r="G128" s="123"/>
      <c r="H128" s="126"/>
      <c r="I128" s="124"/>
      <c r="J128" s="156"/>
      <c r="K128" s="124"/>
      <c r="L128" s="156"/>
      <c r="M128" s="124"/>
      <c r="N128" s="146"/>
    </row>
    <row r="129" spans="1:14" ht="15.75" outlineLevel="1">
      <c r="A129" s="75" t="s">
        <v>218</v>
      </c>
      <c r="B129" s="56" t="s">
        <v>125</v>
      </c>
      <c r="C129" s="25" t="s">
        <v>42</v>
      </c>
      <c r="D129" s="33">
        <v>78.644</v>
      </c>
      <c r="E129" s="81">
        <v>16.546</v>
      </c>
      <c r="F129" s="148"/>
      <c r="G129" s="123"/>
      <c r="H129" s="126"/>
      <c r="I129" s="124"/>
      <c r="J129" s="156"/>
      <c r="K129" s="124"/>
      <c r="L129" s="156"/>
      <c r="M129" s="124"/>
      <c r="N129" s="146"/>
    </row>
    <row r="130" spans="1:14" ht="15.75" outlineLevel="1">
      <c r="A130" s="75" t="s">
        <v>219</v>
      </c>
      <c r="B130" s="68" t="s">
        <v>103</v>
      </c>
      <c r="C130" s="25" t="s">
        <v>37</v>
      </c>
      <c r="D130" s="33">
        <v>867</v>
      </c>
      <c r="E130" s="81">
        <v>829</v>
      </c>
      <c r="F130" s="148"/>
      <c r="G130" s="123"/>
      <c r="H130" s="126"/>
      <c r="I130" s="124"/>
      <c r="J130" s="156"/>
      <c r="K130" s="124"/>
      <c r="L130" s="156"/>
      <c r="M130" s="124"/>
      <c r="N130" s="146"/>
    </row>
    <row r="131" spans="1:14" ht="15.75" outlineLevel="1">
      <c r="A131" s="75" t="s">
        <v>220</v>
      </c>
      <c r="B131" s="68" t="s">
        <v>126</v>
      </c>
      <c r="C131" s="25" t="s">
        <v>37</v>
      </c>
      <c r="D131" s="33">
        <v>625</v>
      </c>
      <c r="E131" s="81">
        <v>20</v>
      </c>
      <c r="F131" s="148"/>
      <c r="G131" s="123"/>
      <c r="H131" s="126"/>
      <c r="I131" s="124"/>
      <c r="J131" s="156"/>
      <c r="K131" s="124"/>
      <c r="L131" s="156"/>
      <c r="M131" s="124"/>
      <c r="N131" s="146"/>
    </row>
    <row r="132" spans="1:14" ht="47.25">
      <c r="A132" s="73">
        <v>17</v>
      </c>
      <c r="B132" s="67" t="s">
        <v>15</v>
      </c>
      <c r="C132" s="24" t="s">
        <v>539</v>
      </c>
      <c r="D132" s="28" t="s">
        <v>540</v>
      </c>
      <c r="E132" s="28" t="s">
        <v>722</v>
      </c>
      <c r="F132" s="147">
        <f>H132+J132+L132</f>
        <v>373765.441930714</v>
      </c>
      <c r="G132" s="123">
        <f>I132+K132+M132</f>
        <v>212374.30979</v>
      </c>
      <c r="H132" s="125">
        <v>373765.441930714</v>
      </c>
      <c r="I132" s="124">
        <v>212374.30979</v>
      </c>
      <c r="J132" s="124"/>
      <c r="K132" s="124"/>
      <c r="L132" s="124"/>
      <c r="M132" s="124"/>
      <c r="N132" s="145"/>
    </row>
    <row r="133" spans="1:14" ht="47.25" outlineLevel="1">
      <c r="A133" s="75" t="s">
        <v>78</v>
      </c>
      <c r="B133" s="56" t="s">
        <v>110</v>
      </c>
      <c r="C133" s="25" t="s">
        <v>109</v>
      </c>
      <c r="D133" s="33">
        <v>1</v>
      </c>
      <c r="E133" s="81"/>
      <c r="F133" s="148"/>
      <c r="G133" s="123"/>
      <c r="H133" s="126"/>
      <c r="I133" s="124"/>
      <c r="J133" s="156"/>
      <c r="K133" s="124"/>
      <c r="L133" s="156"/>
      <c r="M133" s="124"/>
      <c r="N133" s="146"/>
    </row>
    <row r="134" spans="1:14" ht="31.5" outlineLevel="1">
      <c r="A134" s="75" t="s">
        <v>79</v>
      </c>
      <c r="B134" s="56" t="s">
        <v>111</v>
      </c>
      <c r="C134" s="25" t="s">
        <v>37</v>
      </c>
      <c r="D134" s="33">
        <v>6</v>
      </c>
      <c r="E134" s="81">
        <v>6</v>
      </c>
      <c r="F134" s="148"/>
      <c r="G134" s="123"/>
      <c r="H134" s="126"/>
      <c r="I134" s="124"/>
      <c r="J134" s="156"/>
      <c r="K134" s="124"/>
      <c r="L134" s="156"/>
      <c r="M134" s="124"/>
      <c r="N134" s="146"/>
    </row>
    <row r="135" spans="1:14" ht="15.75" outlineLevel="1">
      <c r="A135" s="75" t="s">
        <v>221</v>
      </c>
      <c r="B135" s="56" t="s">
        <v>113</v>
      </c>
      <c r="C135" s="25" t="s">
        <v>37</v>
      </c>
      <c r="D135" s="33">
        <v>2</v>
      </c>
      <c r="E135" s="81">
        <v>2</v>
      </c>
      <c r="F135" s="148"/>
      <c r="G135" s="123"/>
      <c r="H135" s="126"/>
      <c r="I135" s="124"/>
      <c r="J135" s="156"/>
      <c r="K135" s="124"/>
      <c r="L135" s="156"/>
      <c r="M135" s="124"/>
      <c r="N135" s="146"/>
    </row>
    <row r="136" spans="1:14" ht="15.75" outlineLevel="1">
      <c r="A136" s="75" t="s">
        <v>222</v>
      </c>
      <c r="B136" s="56" t="s">
        <v>114</v>
      </c>
      <c r="C136" s="25" t="s">
        <v>37</v>
      </c>
      <c r="D136" s="33">
        <v>6</v>
      </c>
      <c r="E136" s="81">
        <v>6</v>
      </c>
      <c r="F136" s="148"/>
      <c r="G136" s="123"/>
      <c r="H136" s="126"/>
      <c r="I136" s="124"/>
      <c r="J136" s="156"/>
      <c r="K136" s="124"/>
      <c r="L136" s="156"/>
      <c r="M136" s="124"/>
      <c r="N136" s="146"/>
    </row>
    <row r="137" spans="1:14" ht="15.75" outlineLevel="1">
      <c r="A137" s="75" t="s">
        <v>223</v>
      </c>
      <c r="B137" s="56" t="s">
        <v>115</v>
      </c>
      <c r="C137" s="25" t="s">
        <v>37</v>
      </c>
      <c r="D137" s="33">
        <v>3</v>
      </c>
      <c r="E137" s="81"/>
      <c r="F137" s="148"/>
      <c r="G137" s="123"/>
      <c r="H137" s="126"/>
      <c r="I137" s="124"/>
      <c r="J137" s="156"/>
      <c r="K137" s="124"/>
      <c r="L137" s="156"/>
      <c r="M137" s="124"/>
      <c r="N137" s="146"/>
    </row>
    <row r="138" spans="1:14" ht="15.75" outlineLevel="1">
      <c r="A138" s="75" t="s">
        <v>224</v>
      </c>
      <c r="B138" s="56" t="s">
        <v>116</v>
      </c>
      <c r="C138" s="25" t="s">
        <v>37</v>
      </c>
      <c r="D138" s="33">
        <v>1</v>
      </c>
      <c r="E138" s="81"/>
      <c r="F138" s="148"/>
      <c r="G138" s="123"/>
      <c r="H138" s="126"/>
      <c r="I138" s="124"/>
      <c r="J138" s="156"/>
      <c r="K138" s="124"/>
      <c r="L138" s="156"/>
      <c r="M138" s="124"/>
      <c r="N138" s="146"/>
    </row>
    <row r="139" spans="1:14" ht="31.5" outlineLevel="1">
      <c r="A139" s="75" t="s">
        <v>225</v>
      </c>
      <c r="B139" s="56" t="s">
        <v>118</v>
      </c>
      <c r="C139" s="25" t="s">
        <v>117</v>
      </c>
      <c r="D139" s="33">
        <v>1</v>
      </c>
      <c r="E139" s="81">
        <v>1</v>
      </c>
      <c r="F139" s="148"/>
      <c r="G139" s="123"/>
      <c r="H139" s="126"/>
      <c r="I139" s="124"/>
      <c r="J139" s="156"/>
      <c r="K139" s="124"/>
      <c r="L139" s="156"/>
      <c r="M139" s="124"/>
      <c r="N139" s="146"/>
    </row>
    <row r="140" spans="1:14" ht="63">
      <c r="A140" s="73">
        <v>18</v>
      </c>
      <c r="B140" s="67" t="s">
        <v>85</v>
      </c>
      <c r="C140" s="26" t="s">
        <v>233</v>
      </c>
      <c r="D140" s="23">
        <v>1</v>
      </c>
      <c r="E140" s="72"/>
      <c r="F140" s="147">
        <f>H140+J140+L140</f>
        <v>8750</v>
      </c>
      <c r="G140" s="123">
        <f>I140+K140+M140</f>
        <v>0</v>
      </c>
      <c r="H140" s="125">
        <v>8750</v>
      </c>
      <c r="I140" s="124"/>
      <c r="J140" s="124"/>
      <c r="K140" s="124"/>
      <c r="L140" s="124"/>
      <c r="M140" s="124"/>
      <c r="N140" s="145"/>
    </row>
    <row r="141" spans="1:14" ht="15.75" outlineLevel="1">
      <c r="A141" s="75" t="s">
        <v>226</v>
      </c>
      <c r="B141" s="56" t="s">
        <v>128</v>
      </c>
      <c r="C141" s="25" t="s">
        <v>233</v>
      </c>
      <c r="D141" s="33">
        <v>1</v>
      </c>
      <c r="E141" s="81"/>
      <c r="F141" s="148"/>
      <c r="G141" s="123"/>
      <c r="H141" s="126"/>
      <c r="I141" s="124"/>
      <c r="J141" s="156"/>
      <c r="K141" s="124"/>
      <c r="L141" s="156"/>
      <c r="M141" s="124"/>
      <c r="N141" s="146"/>
    </row>
    <row r="142" spans="1:14" ht="31.5">
      <c r="A142" s="73">
        <v>19</v>
      </c>
      <c r="B142" s="67" t="s">
        <v>18</v>
      </c>
      <c r="C142" s="26" t="s">
        <v>105</v>
      </c>
      <c r="D142" s="23">
        <v>55</v>
      </c>
      <c r="E142" s="23">
        <v>55</v>
      </c>
      <c r="F142" s="147">
        <f>H142+J142+L142</f>
        <v>433431.77281309786</v>
      </c>
      <c r="G142" s="123">
        <f>I142+K142+M142</f>
        <v>433431.77271</v>
      </c>
      <c r="H142" s="125">
        <v>433431.77281309786</v>
      </c>
      <c r="I142" s="124">
        <v>433431.77271</v>
      </c>
      <c r="J142" s="124"/>
      <c r="K142" s="124"/>
      <c r="L142" s="124"/>
      <c r="M142" s="124"/>
      <c r="N142" s="145"/>
    </row>
    <row r="143" spans="1:14" ht="15.75" outlineLevel="1">
      <c r="A143" s="75" t="s">
        <v>227</v>
      </c>
      <c r="B143" s="56" t="s">
        <v>98</v>
      </c>
      <c r="C143" s="25" t="s">
        <v>33</v>
      </c>
      <c r="D143" s="33">
        <v>1</v>
      </c>
      <c r="E143" s="33">
        <v>1</v>
      </c>
      <c r="F143" s="148"/>
      <c r="G143" s="123"/>
      <c r="H143" s="126"/>
      <c r="I143" s="124"/>
      <c r="J143" s="156"/>
      <c r="K143" s="124"/>
      <c r="L143" s="156"/>
      <c r="M143" s="124"/>
      <c r="N143" s="146"/>
    </row>
    <row r="144" spans="1:14" ht="15.75" outlineLevel="1">
      <c r="A144" s="75" t="s">
        <v>228</v>
      </c>
      <c r="B144" s="56" t="s">
        <v>89</v>
      </c>
      <c r="C144" s="25" t="s">
        <v>33</v>
      </c>
      <c r="D144" s="33">
        <v>6</v>
      </c>
      <c r="E144" s="33">
        <v>6</v>
      </c>
      <c r="F144" s="148"/>
      <c r="G144" s="123"/>
      <c r="H144" s="126"/>
      <c r="I144" s="124"/>
      <c r="J144" s="156"/>
      <c r="K144" s="124"/>
      <c r="L144" s="156"/>
      <c r="M144" s="124"/>
      <c r="N144" s="146"/>
    </row>
    <row r="145" spans="1:14" ht="15.75" outlineLevel="1">
      <c r="A145" s="75" t="s">
        <v>229</v>
      </c>
      <c r="B145" s="56" t="s">
        <v>92</v>
      </c>
      <c r="C145" s="25" t="s">
        <v>33</v>
      </c>
      <c r="D145" s="33">
        <v>47</v>
      </c>
      <c r="E145" s="33">
        <v>47</v>
      </c>
      <c r="F145" s="148"/>
      <c r="G145" s="123"/>
      <c r="H145" s="126"/>
      <c r="I145" s="124"/>
      <c r="J145" s="156"/>
      <c r="K145" s="124"/>
      <c r="L145" s="156"/>
      <c r="M145" s="124"/>
      <c r="N145" s="146"/>
    </row>
    <row r="146" spans="1:14" ht="31.5" outlineLevel="1">
      <c r="A146" s="75" t="s">
        <v>230</v>
      </c>
      <c r="B146" s="56" t="s">
        <v>96</v>
      </c>
      <c r="C146" s="25" t="s">
        <v>33</v>
      </c>
      <c r="D146" s="33">
        <v>1</v>
      </c>
      <c r="E146" s="33">
        <v>1</v>
      </c>
      <c r="F146" s="148"/>
      <c r="G146" s="123"/>
      <c r="H146" s="126"/>
      <c r="I146" s="124"/>
      <c r="J146" s="156"/>
      <c r="K146" s="124"/>
      <c r="L146" s="156"/>
      <c r="M146" s="124"/>
      <c r="N146" s="146"/>
    </row>
    <row r="147" spans="1:14" ht="47.25">
      <c r="A147" s="139">
        <v>20</v>
      </c>
      <c r="B147" s="67" t="s">
        <v>231</v>
      </c>
      <c r="C147" s="26" t="s">
        <v>80</v>
      </c>
      <c r="D147" s="23">
        <v>1</v>
      </c>
      <c r="E147" s="72">
        <v>1</v>
      </c>
      <c r="F147" s="80">
        <f>H147+J147+L147</f>
        <v>6420.62580357143</v>
      </c>
      <c r="G147" s="15">
        <f>I147+K147+M147</f>
        <v>6420.6258</v>
      </c>
      <c r="H147" s="21">
        <v>6420.62580357143</v>
      </c>
      <c r="I147" s="21">
        <f>5639270.21/1000+781355.59/1000</f>
        <v>6420.6258</v>
      </c>
      <c r="J147" s="10"/>
      <c r="K147" s="10"/>
      <c r="L147" s="10"/>
      <c r="M147" s="10"/>
      <c r="N147" s="14"/>
    </row>
    <row r="148" spans="1:14" ht="63">
      <c r="A148" s="140"/>
      <c r="B148" s="67" t="s">
        <v>232</v>
      </c>
      <c r="C148" s="26" t="s">
        <v>183</v>
      </c>
      <c r="D148" s="23">
        <v>1</v>
      </c>
      <c r="E148" s="72">
        <v>1</v>
      </c>
      <c r="F148" s="80">
        <f>H148+J148+L148</f>
        <v>1046.201</v>
      </c>
      <c r="G148" s="15">
        <f aca="true" t="shared" si="6" ref="G148:G155">I148+K148+M148</f>
        <v>1046.201</v>
      </c>
      <c r="H148" s="21">
        <v>1046.201</v>
      </c>
      <c r="I148" s="21">
        <f>(800000+246201)/1000</f>
        <v>1046.201</v>
      </c>
      <c r="J148" s="10"/>
      <c r="K148" s="10"/>
      <c r="L148" s="10"/>
      <c r="M148" s="10"/>
      <c r="N148" s="14"/>
    </row>
    <row r="149" spans="1:14" ht="31.5">
      <c r="A149" s="139">
        <v>21</v>
      </c>
      <c r="B149" s="67" t="s">
        <v>234</v>
      </c>
      <c r="C149" s="26" t="s">
        <v>80</v>
      </c>
      <c r="D149" s="23">
        <v>1</v>
      </c>
      <c r="E149" s="72"/>
      <c r="F149" s="80">
        <f aca="true" t="shared" si="7" ref="F149:F155">H149+J149+L149</f>
        <v>17811.0963482143</v>
      </c>
      <c r="G149" s="15">
        <f t="shared" si="6"/>
        <v>0</v>
      </c>
      <c r="H149" s="21">
        <v>17811.0963482143</v>
      </c>
      <c r="I149" s="9"/>
      <c r="J149" s="9"/>
      <c r="K149" s="9"/>
      <c r="L149" s="9"/>
      <c r="M149" s="9"/>
      <c r="N149" s="13"/>
    </row>
    <row r="150" spans="1:14" ht="47.25">
      <c r="A150" s="140"/>
      <c r="B150" s="67" t="s">
        <v>235</v>
      </c>
      <c r="C150" s="26" t="s">
        <v>183</v>
      </c>
      <c r="D150" s="23">
        <v>1</v>
      </c>
      <c r="E150" s="72"/>
      <c r="F150" s="80">
        <f t="shared" si="7"/>
        <v>1497.488</v>
      </c>
      <c r="G150" s="15">
        <f t="shared" si="6"/>
        <v>0</v>
      </c>
      <c r="H150" s="21">
        <v>1497.488</v>
      </c>
      <c r="I150" s="9"/>
      <c r="J150" s="9"/>
      <c r="K150" s="9"/>
      <c r="L150" s="9"/>
      <c r="M150" s="9"/>
      <c r="N150" s="13"/>
    </row>
    <row r="151" spans="1:14" ht="31.5">
      <c r="A151" s="139">
        <v>22</v>
      </c>
      <c r="B151" s="67" t="s">
        <v>236</v>
      </c>
      <c r="C151" s="26" t="s">
        <v>80</v>
      </c>
      <c r="D151" s="23">
        <v>1</v>
      </c>
      <c r="E151" s="72"/>
      <c r="F151" s="80">
        <f t="shared" si="7"/>
        <v>1746.2775000000001</v>
      </c>
      <c r="G151" s="15">
        <f t="shared" si="6"/>
        <v>0</v>
      </c>
      <c r="H151" s="21">
        <v>1746.2775000000001</v>
      </c>
      <c r="I151" s="9"/>
      <c r="J151" s="9"/>
      <c r="K151" s="9"/>
      <c r="L151" s="9"/>
      <c r="M151" s="9"/>
      <c r="N151" s="13"/>
    </row>
    <row r="152" spans="1:14" ht="47.25">
      <c r="A152" s="140"/>
      <c r="B152" s="67" t="s">
        <v>237</v>
      </c>
      <c r="C152" s="26" t="s">
        <v>183</v>
      </c>
      <c r="D152" s="23">
        <v>1</v>
      </c>
      <c r="E152" s="72"/>
      <c r="F152" s="80">
        <f t="shared" si="7"/>
        <v>1241.056</v>
      </c>
      <c r="G152" s="15">
        <f t="shared" si="6"/>
        <v>0</v>
      </c>
      <c r="H152" s="21">
        <v>1241.056</v>
      </c>
      <c r="I152" s="9"/>
      <c r="J152" s="9"/>
      <c r="K152" s="9"/>
      <c r="L152" s="9"/>
      <c r="M152" s="9"/>
      <c r="N152" s="13"/>
    </row>
    <row r="153" spans="1:14" ht="47.25">
      <c r="A153" s="139">
        <v>23</v>
      </c>
      <c r="B153" s="67" t="s">
        <v>238</v>
      </c>
      <c r="C153" s="26" t="s">
        <v>80</v>
      </c>
      <c r="D153" s="23">
        <v>1</v>
      </c>
      <c r="E153" s="72">
        <v>1</v>
      </c>
      <c r="F153" s="80">
        <f t="shared" si="7"/>
        <v>14009.593607142899</v>
      </c>
      <c r="G153" s="15">
        <f t="shared" si="6"/>
        <v>11091.89343</v>
      </c>
      <c r="H153" s="21">
        <v>14009.593607142899</v>
      </c>
      <c r="I153" s="21">
        <f>11091893.43/1000</f>
        <v>11091.89343</v>
      </c>
      <c r="J153" s="9"/>
      <c r="K153" s="9"/>
      <c r="L153" s="9"/>
      <c r="M153" s="9"/>
      <c r="N153" s="13"/>
    </row>
    <row r="154" spans="1:14" ht="63">
      <c r="A154" s="140"/>
      <c r="B154" s="67" t="s">
        <v>239</v>
      </c>
      <c r="C154" s="26" t="s">
        <v>183</v>
      </c>
      <c r="D154" s="23">
        <v>1</v>
      </c>
      <c r="E154" s="72"/>
      <c r="F154" s="80">
        <f t="shared" si="7"/>
        <v>1671</v>
      </c>
      <c r="G154" s="15">
        <f t="shared" si="6"/>
        <v>0</v>
      </c>
      <c r="H154" s="21">
        <v>1671</v>
      </c>
      <c r="I154" s="9"/>
      <c r="J154" s="9"/>
      <c r="K154" s="9"/>
      <c r="L154" s="9"/>
      <c r="M154" s="9"/>
      <c r="N154" s="13"/>
    </row>
    <row r="155" spans="1:14" ht="47.25">
      <c r="A155" s="139">
        <v>24</v>
      </c>
      <c r="B155" s="67" t="s">
        <v>240</v>
      </c>
      <c r="C155" s="26" t="s">
        <v>80</v>
      </c>
      <c r="D155" s="23">
        <v>1</v>
      </c>
      <c r="E155" s="72">
        <v>1</v>
      </c>
      <c r="F155" s="80">
        <f t="shared" si="7"/>
        <v>2767.85714</v>
      </c>
      <c r="G155" s="15">
        <f t="shared" si="6"/>
        <v>1000</v>
      </c>
      <c r="H155" s="21">
        <v>2767.85714</v>
      </c>
      <c r="I155" s="21">
        <f>1000000/1000</f>
        <v>1000</v>
      </c>
      <c r="J155" s="37"/>
      <c r="K155" s="37"/>
      <c r="L155" s="37"/>
      <c r="M155" s="37"/>
      <c r="N155" s="92"/>
    </row>
    <row r="156" spans="1:14" ht="63">
      <c r="A156" s="140"/>
      <c r="B156" s="67" t="s">
        <v>241</v>
      </c>
      <c r="C156" s="26" t="s">
        <v>183</v>
      </c>
      <c r="D156" s="23">
        <v>1</v>
      </c>
      <c r="E156" s="72"/>
      <c r="F156" s="80">
        <f aca="true" t="shared" si="8" ref="F156:G158">H156+J156+L156</f>
        <v>478.252</v>
      </c>
      <c r="G156" s="15">
        <f t="shared" si="8"/>
        <v>0</v>
      </c>
      <c r="H156" s="21">
        <v>478.252</v>
      </c>
      <c r="I156" s="9"/>
      <c r="J156" s="37"/>
      <c r="K156" s="37"/>
      <c r="L156" s="37"/>
      <c r="M156" s="37"/>
      <c r="N156" s="92"/>
    </row>
    <row r="157" spans="1:14" ht="15.75">
      <c r="A157" s="73"/>
      <c r="B157" s="67" t="s">
        <v>3</v>
      </c>
      <c r="C157" s="26"/>
      <c r="D157" s="23"/>
      <c r="E157" s="72"/>
      <c r="F157" s="80">
        <f t="shared" si="8"/>
        <v>538546.1862613901</v>
      </c>
      <c r="G157" s="15">
        <f t="shared" si="8"/>
        <v>160576.85876</v>
      </c>
      <c r="H157" s="21">
        <f>SUM(H158:H182)-H158</f>
        <v>538546.1862613901</v>
      </c>
      <c r="I157" s="21">
        <f aca="true" t="shared" si="9" ref="I157:N157">SUM(I158:I182)-I158</f>
        <v>160576.85876</v>
      </c>
      <c r="J157" s="21">
        <f t="shared" si="9"/>
        <v>0</v>
      </c>
      <c r="K157" s="21">
        <f t="shared" si="9"/>
        <v>0</v>
      </c>
      <c r="L157" s="21">
        <f t="shared" si="9"/>
        <v>0</v>
      </c>
      <c r="M157" s="21">
        <f t="shared" si="9"/>
        <v>0</v>
      </c>
      <c r="N157" s="21">
        <f t="shared" si="9"/>
        <v>0</v>
      </c>
    </row>
    <row r="158" spans="1:14" ht="47.25">
      <c r="A158" s="73">
        <v>25</v>
      </c>
      <c r="B158" s="67" t="s">
        <v>242</v>
      </c>
      <c r="C158" s="24" t="s">
        <v>541</v>
      </c>
      <c r="D158" s="28" t="s">
        <v>542</v>
      </c>
      <c r="E158" s="28" t="s">
        <v>542</v>
      </c>
      <c r="F158" s="80">
        <f t="shared" si="8"/>
        <v>134493.0563223214</v>
      </c>
      <c r="G158" s="80">
        <f t="shared" si="8"/>
        <v>128591.82877</v>
      </c>
      <c r="H158" s="21">
        <f>SUM(H159:H166)</f>
        <v>134493.0563223214</v>
      </c>
      <c r="I158" s="21">
        <f>SUM(I159:I166)</f>
        <v>128591.82877</v>
      </c>
      <c r="J158" s="9"/>
      <c r="K158" s="9"/>
      <c r="L158" s="9"/>
      <c r="M158" s="9"/>
      <c r="N158" s="13"/>
    </row>
    <row r="159" spans="1:14" ht="31.5" outlineLevel="1">
      <c r="A159" s="141" t="s">
        <v>81</v>
      </c>
      <c r="B159" s="56" t="s">
        <v>29</v>
      </c>
      <c r="C159" s="25" t="s">
        <v>80</v>
      </c>
      <c r="D159" s="33">
        <v>1</v>
      </c>
      <c r="E159" s="81">
        <v>1</v>
      </c>
      <c r="F159" s="80">
        <f aca="true" t="shared" si="10" ref="F159:F165">H159+J159+L159</f>
        <v>37604.546762857135</v>
      </c>
      <c r="G159" s="15">
        <f>I159+K159+M159</f>
        <v>37604.54676</v>
      </c>
      <c r="H159" s="21">
        <v>37604.546762857135</v>
      </c>
      <c r="I159" s="21">
        <f>12311314.74/1000+25293232.02/1000</f>
        <v>37604.54676</v>
      </c>
      <c r="J159" s="9"/>
      <c r="K159" s="9"/>
      <c r="L159" s="9"/>
      <c r="M159" s="9"/>
      <c r="N159" s="13"/>
    </row>
    <row r="160" spans="1:14" ht="47.25" outlineLevel="1">
      <c r="A160" s="144"/>
      <c r="B160" s="56" t="s">
        <v>243</v>
      </c>
      <c r="C160" s="25" t="s">
        <v>183</v>
      </c>
      <c r="D160" s="33">
        <v>1</v>
      </c>
      <c r="E160" s="81">
        <v>1</v>
      </c>
      <c r="F160" s="80">
        <f t="shared" si="10"/>
        <v>2203</v>
      </c>
      <c r="G160" s="15">
        <f aca="true" t="shared" si="11" ref="G160:G166">I160+K160+M160</f>
        <v>2135.421</v>
      </c>
      <c r="H160" s="21">
        <v>2203</v>
      </c>
      <c r="I160" s="21">
        <v>2135.421</v>
      </c>
      <c r="J160" s="9"/>
      <c r="K160" s="9"/>
      <c r="L160" s="9"/>
      <c r="M160" s="9"/>
      <c r="N160" s="13"/>
    </row>
    <row r="161" spans="1:14" ht="31.5" outlineLevel="1">
      <c r="A161" s="141" t="s">
        <v>82</v>
      </c>
      <c r="B161" s="56" t="s">
        <v>244</v>
      </c>
      <c r="C161" s="25" t="s">
        <v>80</v>
      </c>
      <c r="D161" s="33">
        <v>1</v>
      </c>
      <c r="E161" s="81">
        <v>1</v>
      </c>
      <c r="F161" s="80">
        <f t="shared" si="10"/>
        <v>57296.13656142856</v>
      </c>
      <c r="G161" s="15">
        <f t="shared" si="11"/>
        <v>57296.13657</v>
      </c>
      <c r="H161" s="21">
        <v>57296.13656142856</v>
      </c>
      <c r="I161" s="21">
        <f>13451835.71/1000+43844300.86/1000</f>
        <v>57296.13657</v>
      </c>
      <c r="J161" s="9"/>
      <c r="K161" s="9"/>
      <c r="L161" s="9"/>
      <c r="M161" s="9"/>
      <c r="N161" s="13"/>
    </row>
    <row r="162" spans="1:14" ht="47.25" outlineLevel="1">
      <c r="A162" s="144"/>
      <c r="B162" s="56" t="s">
        <v>245</v>
      </c>
      <c r="C162" s="25" t="s">
        <v>183</v>
      </c>
      <c r="D162" s="33">
        <v>1</v>
      </c>
      <c r="E162" s="81">
        <v>1</v>
      </c>
      <c r="F162" s="80">
        <f t="shared" si="10"/>
        <v>2345</v>
      </c>
      <c r="G162" s="15">
        <f t="shared" si="11"/>
        <v>2513.791</v>
      </c>
      <c r="H162" s="21">
        <v>2345</v>
      </c>
      <c r="I162" s="21">
        <f>2513791/1000</f>
        <v>2513.791</v>
      </c>
      <c r="J162" s="9"/>
      <c r="K162" s="9"/>
      <c r="L162" s="9"/>
      <c r="M162" s="9"/>
      <c r="N162" s="13"/>
    </row>
    <row r="163" spans="1:14" ht="31.5" outlineLevel="1">
      <c r="A163" s="141" t="s">
        <v>83</v>
      </c>
      <c r="B163" s="56" t="s">
        <v>246</v>
      </c>
      <c r="C163" s="25" t="s">
        <v>80</v>
      </c>
      <c r="D163" s="33">
        <v>1</v>
      </c>
      <c r="E163" s="81">
        <v>1</v>
      </c>
      <c r="F163" s="80">
        <f t="shared" si="10"/>
        <v>21218.834230178574</v>
      </c>
      <c r="G163" s="15">
        <f t="shared" si="11"/>
        <v>21218.83424</v>
      </c>
      <c r="H163" s="21">
        <v>21218.834230178574</v>
      </c>
      <c r="I163" s="21">
        <f>9440342.13/1000+11778492.11/1000</f>
        <v>21218.83424</v>
      </c>
      <c r="J163" s="9"/>
      <c r="K163" s="9"/>
      <c r="L163" s="9"/>
      <c r="M163" s="9"/>
      <c r="N163" s="13"/>
    </row>
    <row r="164" spans="1:14" ht="47.25" outlineLevel="1">
      <c r="A164" s="144"/>
      <c r="B164" s="56" t="s">
        <v>247</v>
      </c>
      <c r="C164" s="25" t="s">
        <v>183</v>
      </c>
      <c r="D164" s="33">
        <v>1</v>
      </c>
      <c r="E164" s="81">
        <v>1</v>
      </c>
      <c r="F164" s="80">
        <f t="shared" si="10"/>
        <v>1584</v>
      </c>
      <c r="G164" s="15">
        <f t="shared" si="11"/>
        <v>1709.233</v>
      </c>
      <c r="H164" s="21">
        <v>1584</v>
      </c>
      <c r="I164" s="21">
        <f>1709233/1000</f>
        <v>1709.233</v>
      </c>
      <c r="J164" s="9"/>
      <c r="K164" s="9"/>
      <c r="L164" s="9"/>
      <c r="M164" s="9"/>
      <c r="N164" s="13"/>
    </row>
    <row r="165" spans="1:14" ht="63" outlineLevel="1">
      <c r="A165" s="141" t="s">
        <v>250</v>
      </c>
      <c r="B165" s="56" t="s">
        <v>248</v>
      </c>
      <c r="C165" s="25" t="s">
        <v>80</v>
      </c>
      <c r="D165" s="33">
        <v>1</v>
      </c>
      <c r="E165" s="81">
        <v>1</v>
      </c>
      <c r="F165" s="80">
        <f t="shared" si="10"/>
        <v>12000.482767857142</v>
      </c>
      <c r="G165" s="15">
        <f t="shared" si="11"/>
        <v>6113.8662</v>
      </c>
      <c r="H165" s="21">
        <v>12000.482767857142</v>
      </c>
      <c r="I165" s="21">
        <v>6113.8662</v>
      </c>
      <c r="J165" s="9"/>
      <c r="K165" s="9"/>
      <c r="L165" s="9"/>
      <c r="M165" s="9"/>
      <c r="N165" s="13"/>
    </row>
    <row r="166" spans="1:14" ht="78.75" outlineLevel="1">
      <c r="A166" s="144"/>
      <c r="B166" s="56" t="s">
        <v>249</v>
      </c>
      <c r="C166" s="25" t="s">
        <v>183</v>
      </c>
      <c r="D166" s="33">
        <v>1</v>
      </c>
      <c r="E166" s="81">
        <v>1</v>
      </c>
      <c r="F166" s="80">
        <f>H166+J166+L166</f>
        <v>241.056</v>
      </c>
      <c r="G166" s="15">
        <f t="shared" si="11"/>
        <v>0</v>
      </c>
      <c r="H166" s="21">
        <v>241.056</v>
      </c>
      <c r="I166" s="9"/>
      <c r="J166" s="9"/>
      <c r="K166" s="9"/>
      <c r="L166" s="9"/>
      <c r="M166" s="9"/>
      <c r="N166" s="13"/>
    </row>
    <row r="167" spans="1:14" ht="31.5">
      <c r="A167" s="73">
        <v>26</v>
      </c>
      <c r="B167" s="67" t="s">
        <v>5</v>
      </c>
      <c r="C167" s="24" t="s">
        <v>543</v>
      </c>
      <c r="D167" s="28" t="s">
        <v>544</v>
      </c>
      <c r="E167" s="71"/>
      <c r="F167" s="147">
        <f>H167+J167+L167</f>
        <v>231818.86717035685</v>
      </c>
      <c r="G167" s="123">
        <f>I167+K167+M167</f>
        <v>0</v>
      </c>
      <c r="H167" s="125">
        <v>231818.86717035685</v>
      </c>
      <c r="I167" s="129"/>
      <c r="J167" s="124"/>
      <c r="K167" s="124"/>
      <c r="L167" s="124"/>
      <c r="M167" s="124"/>
      <c r="N167" s="145"/>
    </row>
    <row r="168" spans="1:14" ht="15.75" outlineLevel="1">
      <c r="A168" s="75" t="s">
        <v>251</v>
      </c>
      <c r="B168" s="56" t="s">
        <v>120</v>
      </c>
      <c r="C168" s="25" t="s">
        <v>105</v>
      </c>
      <c r="D168" s="33">
        <v>6</v>
      </c>
      <c r="E168" s="81"/>
      <c r="F168" s="148"/>
      <c r="G168" s="123"/>
      <c r="H168" s="126"/>
      <c r="I168" s="130"/>
      <c r="J168" s="156"/>
      <c r="K168" s="124"/>
      <c r="L168" s="156"/>
      <c r="M168" s="124"/>
      <c r="N168" s="146"/>
    </row>
    <row r="169" spans="1:14" ht="15.75" outlineLevel="1">
      <c r="A169" s="75" t="s">
        <v>252</v>
      </c>
      <c r="B169" s="56" t="s">
        <v>121</v>
      </c>
      <c r="C169" s="25" t="s">
        <v>105</v>
      </c>
      <c r="D169" s="33">
        <v>16</v>
      </c>
      <c r="E169" s="81"/>
      <c r="F169" s="148"/>
      <c r="G169" s="123"/>
      <c r="H169" s="126"/>
      <c r="I169" s="130"/>
      <c r="J169" s="156"/>
      <c r="K169" s="124"/>
      <c r="L169" s="156"/>
      <c r="M169" s="124"/>
      <c r="N169" s="146"/>
    </row>
    <row r="170" spans="1:14" ht="15.75" outlineLevel="1">
      <c r="A170" s="75" t="s">
        <v>253</v>
      </c>
      <c r="B170" s="56" t="s">
        <v>134</v>
      </c>
      <c r="C170" s="25" t="s">
        <v>86</v>
      </c>
      <c r="D170" s="33">
        <v>312</v>
      </c>
      <c r="E170" s="81"/>
      <c r="F170" s="148"/>
      <c r="G170" s="123"/>
      <c r="H170" s="126"/>
      <c r="I170" s="130"/>
      <c r="J170" s="156"/>
      <c r="K170" s="124"/>
      <c r="L170" s="156"/>
      <c r="M170" s="124"/>
      <c r="N170" s="146"/>
    </row>
    <row r="171" spans="1:14" ht="15.75" outlineLevel="1">
      <c r="A171" s="75" t="s">
        <v>254</v>
      </c>
      <c r="B171" s="56" t="s">
        <v>119</v>
      </c>
      <c r="C171" s="25" t="s">
        <v>86</v>
      </c>
      <c r="D171" s="33">
        <v>1864</v>
      </c>
      <c r="E171" s="81"/>
      <c r="F171" s="148"/>
      <c r="G171" s="123"/>
      <c r="H171" s="126"/>
      <c r="I171" s="131"/>
      <c r="J171" s="156"/>
      <c r="K171" s="124"/>
      <c r="L171" s="156"/>
      <c r="M171" s="124"/>
      <c r="N171" s="146"/>
    </row>
    <row r="172" spans="1:14" ht="47.25">
      <c r="A172" s="139">
        <v>27</v>
      </c>
      <c r="B172" s="70" t="s">
        <v>255</v>
      </c>
      <c r="C172" s="26" t="s">
        <v>80</v>
      </c>
      <c r="D172" s="23">
        <v>1</v>
      </c>
      <c r="E172" s="72">
        <v>1</v>
      </c>
      <c r="F172" s="80">
        <f aca="true" t="shared" si="12" ref="F172:G174">H172+J172+L172</f>
        <v>9800</v>
      </c>
      <c r="G172" s="15">
        <f t="shared" si="12"/>
        <v>9800</v>
      </c>
      <c r="H172" s="21">
        <v>9800</v>
      </c>
      <c r="I172" s="21">
        <f>6507806.98/1000+3292193.02/1000</f>
        <v>9800</v>
      </c>
      <c r="J172" s="9"/>
      <c r="K172" s="9"/>
      <c r="L172" s="9"/>
      <c r="M172" s="9"/>
      <c r="N172" s="13"/>
    </row>
    <row r="173" spans="1:14" ht="63">
      <c r="A173" s="140"/>
      <c r="B173" s="70" t="s">
        <v>256</v>
      </c>
      <c r="C173" s="26" t="s">
        <v>183</v>
      </c>
      <c r="D173" s="23">
        <v>1</v>
      </c>
      <c r="E173" s="72">
        <v>1</v>
      </c>
      <c r="F173" s="80">
        <f t="shared" si="12"/>
        <v>1159.6799999999998</v>
      </c>
      <c r="G173" s="15">
        <f t="shared" si="12"/>
        <v>2576.24813</v>
      </c>
      <c r="H173" s="21">
        <f>968.68+191</f>
        <v>1159.6799999999998</v>
      </c>
      <c r="I173" s="21">
        <f>1202249.13/1000+274799.8/1000+1099199.2/1000</f>
        <v>2576.24813</v>
      </c>
      <c r="J173" s="9"/>
      <c r="K173" s="9"/>
      <c r="L173" s="9"/>
      <c r="M173" s="9"/>
      <c r="N173" s="13"/>
    </row>
    <row r="174" spans="1:14" ht="47.25">
      <c r="A174" s="73">
        <v>28</v>
      </c>
      <c r="B174" s="70" t="s">
        <v>26</v>
      </c>
      <c r="C174" s="26" t="s">
        <v>37</v>
      </c>
      <c r="D174" s="23">
        <v>11</v>
      </c>
      <c r="E174" s="127"/>
      <c r="F174" s="147">
        <f t="shared" si="12"/>
        <v>108671.80209</v>
      </c>
      <c r="G174" s="123">
        <f t="shared" si="12"/>
        <v>0</v>
      </c>
      <c r="H174" s="125">
        <v>108671.80209</v>
      </c>
      <c r="I174" s="124"/>
      <c r="J174" s="124"/>
      <c r="K174" s="124"/>
      <c r="L174" s="124"/>
      <c r="M174" s="124"/>
      <c r="N174" s="145"/>
    </row>
    <row r="175" spans="1:14" ht="31.5" outlineLevel="1">
      <c r="A175" s="76" t="s">
        <v>257</v>
      </c>
      <c r="B175" s="56" t="s">
        <v>87</v>
      </c>
      <c r="C175" s="25" t="s">
        <v>37</v>
      </c>
      <c r="D175" s="33">
        <v>2</v>
      </c>
      <c r="E175" s="127"/>
      <c r="F175" s="148"/>
      <c r="G175" s="123"/>
      <c r="H175" s="126"/>
      <c r="I175" s="124"/>
      <c r="J175" s="156"/>
      <c r="K175" s="124"/>
      <c r="L175" s="156"/>
      <c r="M175" s="124"/>
      <c r="N175" s="146"/>
    </row>
    <row r="176" spans="1:14" ht="15.75" outlineLevel="1">
      <c r="A176" s="75" t="s">
        <v>258</v>
      </c>
      <c r="B176" s="56" t="s">
        <v>88</v>
      </c>
      <c r="C176" s="25" t="s">
        <v>37</v>
      </c>
      <c r="D176" s="33">
        <v>4</v>
      </c>
      <c r="E176" s="127"/>
      <c r="F176" s="148"/>
      <c r="G176" s="123"/>
      <c r="H176" s="126"/>
      <c r="I176" s="124"/>
      <c r="J176" s="156"/>
      <c r="K176" s="124"/>
      <c r="L176" s="156"/>
      <c r="M176" s="124"/>
      <c r="N176" s="146"/>
    </row>
    <row r="177" spans="1:14" ht="15.75" outlineLevel="1">
      <c r="A177" s="75" t="s">
        <v>259</v>
      </c>
      <c r="B177" s="56" t="s">
        <v>524</v>
      </c>
      <c r="C177" s="25" t="s">
        <v>37</v>
      </c>
      <c r="D177" s="33">
        <v>5</v>
      </c>
      <c r="E177" s="127"/>
      <c r="F177" s="148"/>
      <c r="G177" s="123"/>
      <c r="H177" s="126"/>
      <c r="I177" s="124"/>
      <c r="J177" s="156"/>
      <c r="K177" s="124"/>
      <c r="L177" s="156"/>
      <c r="M177" s="124"/>
      <c r="N177" s="146"/>
    </row>
    <row r="178" spans="1:14" ht="47.25">
      <c r="A178" s="73">
        <v>29</v>
      </c>
      <c r="B178" s="70" t="s">
        <v>260</v>
      </c>
      <c r="C178" s="26" t="s">
        <v>264</v>
      </c>
      <c r="D178" s="23">
        <v>1</v>
      </c>
      <c r="E178" s="72">
        <v>1</v>
      </c>
      <c r="F178" s="80">
        <f aca="true" t="shared" si="13" ref="F178:F184">H178+J178+L178</f>
        <v>4144.75875</v>
      </c>
      <c r="G178" s="15">
        <f aca="true" t="shared" si="14" ref="G178:G183">I178+K178+M178</f>
        <v>4144.75875</v>
      </c>
      <c r="H178" s="21">
        <v>4144.75875</v>
      </c>
      <c r="I178" s="21">
        <f>4144758.75/1000</f>
        <v>4144.75875</v>
      </c>
      <c r="J178" s="9"/>
      <c r="K178" s="9"/>
      <c r="L178" s="9"/>
      <c r="M178" s="9"/>
      <c r="N178" s="13"/>
    </row>
    <row r="179" spans="1:14" ht="63">
      <c r="A179" s="73">
        <v>30</v>
      </c>
      <c r="B179" s="70" t="s">
        <v>261</v>
      </c>
      <c r="C179" s="26" t="s">
        <v>265</v>
      </c>
      <c r="D179" s="23">
        <v>1</v>
      </c>
      <c r="E179" s="72">
        <v>1</v>
      </c>
      <c r="F179" s="80">
        <f t="shared" si="13"/>
        <v>3200</v>
      </c>
      <c r="G179" s="15">
        <f t="shared" si="14"/>
        <v>3200</v>
      </c>
      <c r="H179" s="21">
        <v>3200</v>
      </c>
      <c r="I179" s="21">
        <f>3200000/1000</f>
        <v>3200</v>
      </c>
      <c r="J179" s="9"/>
      <c r="K179" s="9"/>
      <c r="L179" s="9"/>
      <c r="M179" s="9"/>
      <c r="N179" s="13"/>
    </row>
    <row r="180" spans="1:14" ht="63">
      <c r="A180" s="139">
        <v>31</v>
      </c>
      <c r="B180" s="70" t="s">
        <v>262</v>
      </c>
      <c r="C180" s="26" t="s">
        <v>80</v>
      </c>
      <c r="D180" s="23">
        <v>1</v>
      </c>
      <c r="E180" s="72">
        <v>1</v>
      </c>
      <c r="F180" s="80">
        <f t="shared" si="13"/>
        <v>16240.5625678571</v>
      </c>
      <c r="G180" s="15">
        <f t="shared" si="14"/>
        <v>12264.02311</v>
      </c>
      <c r="H180" s="21">
        <v>16240.5625678571</v>
      </c>
      <c r="I180" s="21">
        <f>12264023.11/1000</f>
        <v>12264.02311</v>
      </c>
      <c r="J180" s="9"/>
      <c r="K180" s="9"/>
      <c r="L180" s="9"/>
      <c r="M180" s="9"/>
      <c r="N180" s="13"/>
    </row>
    <row r="181" spans="1:14" ht="78.75">
      <c r="A181" s="140"/>
      <c r="B181" s="70" t="s">
        <v>263</v>
      </c>
      <c r="C181" s="26" t="s">
        <v>183</v>
      </c>
      <c r="D181" s="23">
        <v>1</v>
      </c>
      <c r="E181" s="72"/>
      <c r="F181" s="80">
        <f t="shared" si="13"/>
        <v>1671</v>
      </c>
      <c r="G181" s="15">
        <f t="shared" si="14"/>
        <v>0</v>
      </c>
      <c r="H181" s="21">
        <v>1671</v>
      </c>
      <c r="I181" s="9"/>
      <c r="J181" s="9"/>
      <c r="K181" s="9"/>
      <c r="L181" s="9"/>
      <c r="M181" s="9"/>
      <c r="N181" s="13"/>
    </row>
    <row r="182" spans="1:14" ht="30.75" customHeight="1">
      <c r="A182" s="73">
        <v>32</v>
      </c>
      <c r="B182" s="70" t="s">
        <v>430</v>
      </c>
      <c r="C182" s="26" t="s">
        <v>80</v>
      </c>
      <c r="D182" s="23">
        <v>1</v>
      </c>
      <c r="E182" s="72"/>
      <c r="F182" s="80">
        <f t="shared" si="13"/>
        <v>27346.45936085481</v>
      </c>
      <c r="G182" s="15">
        <f t="shared" si="14"/>
        <v>0</v>
      </c>
      <c r="H182" s="21">
        <v>27346.45936085481</v>
      </c>
      <c r="I182" s="9"/>
      <c r="J182" s="9"/>
      <c r="K182" s="9"/>
      <c r="L182" s="9"/>
      <c r="M182" s="9"/>
      <c r="N182" s="13"/>
    </row>
    <row r="183" spans="1:14" ht="31.5">
      <c r="A183" s="73">
        <v>33</v>
      </c>
      <c r="B183" s="70" t="s">
        <v>22</v>
      </c>
      <c r="C183" s="24" t="s">
        <v>543</v>
      </c>
      <c r="D183" s="28" t="s">
        <v>545</v>
      </c>
      <c r="E183" s="28" t="s">
        <v>723</v>
      </c>
      <c r="F183" s="80">
        <f t="shared" si="13"/>
        <v>893015.72449</v>
      </c>
      <c r="G183" s="15">
        <f t="shared" si="14"/>
        <v>874409.57765</v>
      </c>
      <c r="H183" s="21">
        <f>SUM(H184:H298)</f>
        <v>893015.72449</v>
      </c>
      <c r="I183" s="21">
        <f>479450.20765+394959.37</f>
        <v>874409.57765</v>
      </c>
      <c r="J183" s="9">
        <f>SUM(J184:J298)</f>
        <v>0</v>
      </c>
      <c r="K183" s="9"/>
      <c r="L183" s="9">
        <f>SUM(L184:L298)</f>
        <v>0</v>
      </c>
      <c r="M183" s="9"/>
      <c r="N183" s="13">
        <f>SUM(N184:N298)</f>
        <v>0</v>
      </c>
    </row>
    <row r="184" spans="1:14" ht="15.75" outlineLevel="1">
      <c r="A184" s="75" t="s">
        <v>558</v>
      </c>
      <c r="B184" s="56" t="s">
        <v>431</v>
      </c>
      <c r="C184" s="25" t="s">
        <v>313</v>
      </c>
      <c r="D184" s="33">
        <v>3</v>
      </c>
      <c r="E184" s="81">
        <v>3</v>
      </c>
      <c r="F184" s="80">
        <f t="shared" si="13"/>
        <v>28392</v>
      </c>
      <c r="G184" s="15">
        <f aca="true" t="shared" si="15" ref="G184:G246">I184+K184+M184</f>
        <v>16298.004</v>
      </c>
      <c r="H184" s="21">
        <v>28392</v>
      </c>
      <c r="I184" s="21">
        <f>16298004/1000</f>
        <v>16298.004</v>
      </c>
      <c r="J184" s="9"/>
      <c r="K184" s="9"/>
      <c r="L184" s="9"/>
      <c r="M184" s="9"/>
      <c r="N184" s="13"/>
    </row>
    <row r="185" spans="1:14" ht="15.75" outlineLevel="1">
      <c r="A185" s="75" t="s">
        <v>559</v>
      </c>
      <c r="B185" s="56" t="s">
        <v>432</v>
      </c>
      <c r="C185" s="25" t="s">
        <v>313</v>
      </c>
      <c r="D185" s="33">
        <v>16</v>
      </c>
      <c r="E185" s="81">
        <v>16</v>
      </c>
      <c r="F185" s="80">
        <f aca="true" t="shared" si="16" ref="F185:F251">H185+J185+L185</f>
        <v>17125</v>
      </c>
      <c r="G185" s="15">
        <f t="shared" si="15"/>
        <v>16775.27584</v>
      </c>
      <c r="H185" s="21">
        <v>17125</v>
      </c>
      <c r="I185" s="21">
        <f>16775275.84/1000</f>
        <v>16775.27584</v>
      </c>
      <c r="J185" s="9"/>
      <c r="K185" s="9"/>
      <c r="L185" s="9"/>
      <c r="M185" s="9"/>
      <c r="N185" s="13"/>
    </row>
    <row r="186" spans="1:14" ht="15.75" outlineLevel="1">
      <c r="A186" s="75" t="s">
        <v>560</v>
      </c>
      <c r="B186" s="56" t="s">
        <v>433</v>
      </c>
      <c r="C186" s="25" t="s">
        <v>313</v>
      </c>
      <c r="D186" s="33">
        <v>15</v>
      </c>
      <c r="E186" s="81">
        <v>15</v>
      </c>
      <c r="F186" s="80">
        <f t="shared" si="16"/>
        <v>49050</v>
      </c>
      <c r="G186" s="15">
        <f t="shared" si="15"/>
        <v>49050</v>
      </c>
      <c r="H186" s="21">
        <v>49050</v>
      </c>
      <c r="I186" s="21">
        <f>49050000/1000</f>
        <v>49050</v>
      </c>
      <c r="J186" s="9"/>
      <c r="K186" s="9"/>
      <c r="L186" s="9"/>
      <c r="M186" s="9"/>
      <c r="N186" s="13"/>
    </row>
    <row r="187" spans="1:14" ht="15.75" outlineLevel="1">
      <c r="A187" s="75" t="s">
        <v>561</v>
      </c>
      <c r="B187" s="56" t="s">
        <v>434</v>
      </c>
      <c r="C187" s="25" t="s">
        <v>313</v>
      </c>
      <c r="D187" s="33">
        <v>1</v>
      </c>
      <c r="E187" s="81">
        <v>1</v>
      </c>
      <c r="F187" s="80">
        <f t="shared" si="16"/>
        <v>3270</v>
      </c>
      <c r="G187" s="15">
        <f t="shared" si="15"/>
        <v>3270</v>
      </c>
      <c r="H187" s="21">
        <v>3270</v>
      </c>
      <c r="I187" s="21">
        <f>3270000/1000</f>
        <v>3270</v>
      </c>
      <c r="J187" s="9"/>
      <c r="K187" s="9"/>
      <c r="L187" s="9"/>
      <c r="M187" s="9"/>
      <c r="N187" s="13"/>
    </row>
    <row r="188" spans="1:14" ht="15.75" outlineLevel="1">
      <c r="A188" s="75" t="s">
        <v>562</v>
      </c>
      <c r="B188" s="56" t="s">
        <v>435</v>
      </c>
      <c r="C188" s="25" t="s">
        <v>313</v>
      </c>
      <c r="D188" s="33">
        <v>6</v>
      </c>
      <c r="E188" s="81">
        <v>6</v>
      </c>
      <c r="F188" s="80">
        <f t="shared" si="16"/>
        <v>17220</v>
      </c>
      <c r="G188" s="15">
        <f t="shared" si="15"/>
        <v>17220</v>
      </c>
      <c r="H188" s="21">
        <v>17220</v>
      </c>
      <c r="I188" s="21">
        <f>17220000/1000</f>
        <v>17220</v>
      </c>
      <c r="J188" s="9"/>
      <c r="K188" s="9"/>
      <c r="L188" s="9"/>
      <c r="M188" s="9"/>
      <c r="N188" s="13"/>
    </row>
    <row r="189" spans="1:14" ht="31.5" outlineLevel="1">
      <c r="A189" s="75" t="s">
        <v>563</v>
      </c>
      <c r="B189" s="56" t="s">
        <v>436</v>
      </c>
      <c r="C189" s="25" t="s">
        <v>314</v>
      </c>
      <c r="D189" s="33">
        <v>3</v>
      </c>
      <c r="E189" s="81">
        <v>3</v>
      </c>
      <c r="F189" s="80">
        <f t="shared" si="16"/>
        <v>73050</v>
      </c>
      <c r="G189" s="15">
        <f t="shared" si="15"/>
        <v>73050</v>
      </c>
      <c r="H189" s="21">
        <v>73050</v>
      </c>
      <c r="I189" s="21">
        <f>73050000/1000</f>
        <v>73050</v>
      </c>
      <c r="J189" s="9"/>
      <c r="K189" s="9"/>
      <c r="L189" s="9"/>
      <c r="M189" s="9"/>
      <c r="N189" s="13"/>
    </row>
    <row r="190" spans="1:14" ht="15.75" outlineLevel="1">
      <c r="A190" s="75" t="s">
        <v>564</v>
      </c>
      <c r="B190" s="56" t="s">
        <v>437</v>
      </c>
      <c r="C190" s="25" t="s">
        <v>314</v>
      </c>
      <c r="D190" s="33">
        <v>30</v>
      </c>
      <c r="E190" s="81">
        <v>30</v>
      </c>
      <c r="F190" s="80">
        <f t="shared" si="16"/>
        <v>13500</v>
      </c>
      <c r="G190" s="15">
        <f t="shared" si="15"/>
        <v>13500</v>
      </c>
      <c r="H190" s="21">
        <v>13500</v>
      </c>
      <c r="I190" s="21">
        <f>13500000/1000</f>
        <v>13500</v>
      </c>
      <c r="J190" s="9"/>
      <c r="K190" s="9"/>
      <c r="L190" s="9"/>
      <c r="M190" s="9"/>
      <c r="N190" s="13"/>
    </row>
    <row r="191" spans="1:14" ht="47.25" outlineLevel="1">
      <c r="A191" s="75" t="s">
        <v>565</v>
      </c>
      <c r="B191" s="56" t="s">
        <v>438</v>
      </c>
      <c r="C191" s="25" t="s">
        <v>314</v>
      </c>
      <c r="D191" s="33">
        <v>4</v>
      </c>
      <c r="E191" s="81">
        <v>4</v>
      </c>
      <c r="F191" s="80">
        <f t="shared" si="16"/>
        <v>532</v>
      </c>
      <c r="G191" s="15">
        <f t="shared" si="15"/>
        <v>532</v>
      </c>
      <c r="H191" s="21">
        <v>532</v>
      </c>
      <c r="I191" s="21">
        <f>532000/1000</f>
        <v>532</v>
      </c>
      <c r="J191" s="9"/>
      <c r="K191" s="9"/>
      <c r="L191" s="9"/>
      <c r="M191" s="9"/>
      <c r="N191" s="13"/>
    </row>
    <row r="192" spans="1:14" ht="31.5" outlineLevel="1">
      <c r="A192" s="75" t="s">
        <v>566</v>
      </c>
      <c r="B192" s="56" t="s">
        <v>439</v>
      </c>
      <c r="C192" s="25" t="s">
        <v>314</v>
      </c>
      <c r="D192" s="33">
        <v>39</v>
      </c>
      <c r="E192" s="81">
        <v>39</v>
      </c>
      <c r="F192" s="80">
        <f t="shared" si="16"/>
        <v>14118</v>
      </c>
      <c r="G192" s="15">
        <f t="shared" si="15"/>
        <v>14118</v>
      </c>
      <c r="H192" s="21">
        <v>14118</v>
      </c>
      <c r="I192" s="21">
        <f>14118000/1000</f>
        <v>14118</v>
      </c>
      <c r="J192" s="9"/>
      <c r="K192" s="9"/>
      <c r="L192" s="9"/>
      <c r="M192" s="9"/>
      <c r="N192" s="13"/>
    </row>
    <row r="193" spans="1:14" ht="15.75" outlineLevel="1">
      <c r="A193" s="75" t="s">
        <v>567</v>
      </c>
      <c r="B193" s="56" t="s">
        <v>440</v>
      </c>
      <c r="C193" s="25" t="s">
        <v>313</v>
      </c>
      <c r="D193" s="33">
        <v>33</v>
      </c>
      <c r="E193" s="81">
        <v>33</v>
      </c>
      <c r="F193" s="80">
        <f t="shared" si="16"/>
        <v>8724.33111</v>
      </c>
      <c r="G193" s="15">
        <f t="shared" si="15"/>
        <v>8724.33111</v>
      </c>
      <c r="H193" s="21">
        <v>8724.33111</v>
      </c>
      <c r="I193" s="21">
        <f>8724331.11/1000</f>
        <v>8724.33111</v>
      </c>
      <c r="J193" s="9"/>
      <c r="K193" s="9"/>
      <c r="L193" s="9"/>
      <c r="M193" s="9"/>
      <c r="N193" s="13"/>
    </row>
    <row r="194" spans="1:14" ht="15.75" outlineLevel="1">
      <c r="A194" s="75" t="s">
        <v>568</v>
      </c>
      <c r="B194" s="56" t="s">
        <v>441</v>
      </c>
      <c r="C194" s="25" t="s">
        <v>314</v>
      </c>
      <c r="D194" s="33">
        <v>4</v>
      </c>
      <c r="E194" s="81">
        <v>4</v>
      </c>
      <c r="F194" s="80">
        <f t="shared" si="16"/>
        <v>3671.6</v>
      </c>
      <c r="G194" s="15">
        <f t="shared" si="15"/>
        <v>3671.6</v>
      </c>
      <c r="H194" s="21">
        <v>3671.6</v>
      </c>
      <c r="I194" s="21">
        <f>3671600/1000</f>
        <v>3671.6</v>
      </c>
      <c r="J194" s="9"/>
      <c r="K194" s="9"/>
      <c r="L194" s="9"/>
      <c r="M194" s="9"/>
      <c r="N194" s="13"/>
    </row>
    <row r="195" spans="1:14" ht="15.75" outlineLevel="1">
      <c r="A195" s="75" t="s">
        <v>569</v>
      </c>
      <c r="B195" s="56" t="s">
        <v>442</v>
      </c>
      <c r="C195" s="25" t="s">
        <v>314</v>
      </c>
      <c r="D195" s="33">
        <v>4</v>
      </c>
      <c r="E195" s="81">
        <v>4</v>
      </c>
      <c r="F195" s="80">
        <f t="shared" si="16"/>
        <v>3771.2</v>
      </c>
      <c r="G195" s="15">
        <f t="shared" si="15"/>
        <v>3771.2</v>
      </c>
      <c r="H195" s="21">
        <v>3771.2</v>
      </c>
      <c r="I195" s="21">
        <f>3771200/1000</f>
        <v>3771.2</v>
      </c>
      <c r="J195" s="9"/>
      <c r="K195" s="9"/>
      <c r="L195" s="9"/>
      <c r="M195" s="9"/>
      <c r="N195" s="13"/>
    </row>
    <row r="196" spans="1:14" ht="31.5" outlineLevel="1">
      <c r="A196" s="75" t="s">
        <v>570</v>
      </c>
      <c r="B196" s="56" t="s">
        <v>443</v>
      </c>
      <c r="C196" s="25" t="s">
        <v>314</v>
      </c>
      <c r="D196" s="33">
        <v>3</v>
      </c>
      <c r="E196" s="81">
        <v>3</v>
      </c>
      <c r="F196" s="80">
        <f t="shared" si="16"/>
        <v>840.666</v>
      </c>
      <c r="G196" s="15">
        <f t="shared" si="15"/>
        <v>840.666</v>
      </c>
      <c r="H196" s="21">
        <v>840.666</v>
      </c>
      <c r="I196" s="21">
        <f>840666/1000</f>
        <v>840.666</v>
      </c>
      <c r="J196" s="9"/>
      <c r="K196" s="9"/>
      <c r="L196" s="9"/>
      <c r="M196" s="9"/>
      <c r="N196" s="13"/>
    </row>
    <row r="197" spans="1:14" ht="31.5" outlineLevel="1">
      <c r="A197" s="75" t="s">
        <v>571</v>
      </c>
      <c r="B197" s="56" t="s">
        <v>444</v>
      </c>
      <c r="C197" s="25" t="s">
        <v>315</v>
      </c>
      <c r="D197" s="33">
        <v>6</v>
      </c>
      <c r="E197" s="81">
        <v>6</v>
      </c>
      <c r="F197" s="80">
        <f t="shared" si="16"/>
        <v>1042.31628</v>
      </c>
      <c r="G197" s="15">
        <f t="shared" si="15"/>
        <v>1042.31628</v>
      </c>
      <c r="H197" s="21">
        <v>1042.31628</v>
      </c>
      <c r="I197" s="21">
        <f>1042316.28/1000</f>
        <v>1042.31628</v>
      </c>
      <c r="J197" s="9"/>
      <c r="K197" s="9"/>
      <c r="L197" s="9"/>
      <c r="M197" s="9"/>
      <c r="N197" s="13"/>
    </row>
    <row r="198" spans="1:14" ht="15.75" outlineLevel="1">
      <c r="A198" s="75" t="s">
        <v>572</v>
      </c>
      <c r="B198" s="56" t="s">
        <v>445</v>
      </c>
      <c r="C198" s="25" t="s">
        <v>314</v>
      </c>
      <c r="D198" s="33">
        <v>6</v>
      </c>
      <c r="E198" s="81">
        <v>6</v>
      </c>
      <c r="F198" s="80">
        <f t="shared" si="16"/>
        <v>1524.31032</v>
      </c>
      <c r="G198" s="15">
        <f t="shared" si="15"/>
        <v>1524.31032</v>
      </c>
      <c r="H198" s="21">
        <v>1524.31032</v>
      </c>
      <c r="I198" s="21">
        <f>1524310.32/1000</f>
        <v>1524.31032</v>
      </c>
      <c r="J198" s="9"/>
      <c r="K198" s="9"/>
      <c r="L198" s="9"/>
      <c r="M198" s="9"/>
      <c r="N198" s="13"/>
    </row>
    <row r="199" spans="1:14" ht="31.5" outlineLevel="1">
      <c r="A199" s="75" t="s">
        <v>573</v>
      </c>
      <c r="B199" s="56" t="s">
        <v>446</v>
      </c>
      <c r="C199" s="25" t="s">
        <v>314</v>
      </c>
      <c r="D199" s="33">
        <v>39</v>
      </c>
      <c r="E199" s="81">
        <v>39</v>
      </c>
      <c r="F199" s="80">
        <f t="shared" si="16"/>
        <v>340.9731</v>
      </c>
      <c r="G199" s="15">
        <f t="shared" si="15"/>
        <v>340.9731</v>
      </c>
      <c r="H199" s="21">
        <v>340.9731</v>
      </c>
      <c r="I199" s="21">
        <f>340973.1/1000</f>
        <v>340.9731</v>
      </c>
      <c r="J199" s="9"/>
      <c r="K199" s="9"/>
      <c r="L199" s="9"/>
      <c r="M199" s="9"/>
      <c r="N199" s="13"/>
    </row>
    <row r="200" spans="1:14" ht="15.75" outlineLevel="1">
      <c r="A200" s="75" t="s">
        <v>574</v>
      </c>
      <c r="B200" s="56" t="s">
        <v>447</v>
      </c>
      <c r="C200" s="25" t="s">
        <v>314</v>
      </c>
      <c r="D200" s="33">
        <v>259</v>
      </c>
      <c r="E200" s="81">
        <v>259</v>
      </c>
      <c r="F200" s="80">
        <f t="shared" si="16"/>
        <v>5836.80587</v>
      </c>
      <c r="G200" s="15">
        <f t="shared" si="15"/>
        <v>5836.80587</v>
      </c>
      <c r="H200" s="21">
        <v>5836.80587</v>
      </c>
      <c r="I200" s="21">
        <f>5836805.87/1000</f>
        <v>5836.80587</v>
      </c>
      <c r="J200" s="9"/>
      <c r="K200" s="9"/>
      <c r="L200" s="9"/>
      <c r="M200" s="9"/>
      <c r="N200" s="13"/>
    </row>
    <row r="201" spans="1:14" ht="31.5" outlineLevel="1">
      <c r="A201" s="75" t="s">
        <v>575</v>
      </c>
      <c r="B201" s="56" t="s">
        <v>448</v>
      </c>
      <c r="C201" s="25" t="s">
        <v>313</v>
      </c>
      <c r="D201" s="33">
        <v>2</v>
      </c>
      <c r="E201" s="81">
        <v>2</v>
      </c>
      <c r="F201" s="80">
        <f t="shared" si="16"/>
        <v>789.816</v>
      </c>
      <c r="G201" s="15">
        <f t="shared" si="15"/>
        <v>789.816</v>
      </c>
      <c r="H201" s="21">
        <v>789.816</v>
      </c>
      <c r="I201" s="21">
        <f>789816/1000</f>
        <v>789.816</v>
      </c>
      <c r="J201" s="9"/>
      <c r="K201" s="9"/>
      <c r="L201" s="9"/>
      <c r="M201" s="9"/>
      <c r="N201" s="13"/>
    </row>
    <row r="202" spans="1:14" ht="15.75" outlineLevel="1">
      <c r="A202" s="75" t="s">
        <v>576</v>
      </c>
      <c r="B202" s="56" t="s">
        <v>449</v>
      </c>
      <c r="C202" s="25" t="s">
        <v>314</v>
      </c>
      <c r="D202" s="33">
        <v>4</v>
      </c>
      <c r="E202" s="81">
        <v>4</v>
      </c>
      <c r="F202" s="80">
        <f t="shared" si="16"/>
        <v>2875.96408</v>
      </c>
      <c r="G202" s="15">
        <f t="shared" si="15"/>
        <v>2875.96408</v>
      </c>
      <c r="H202" s="21">
        <v>2875.96408</v>
      </c>
      <c r="I202" s="21">
        <f>2875964.08/1000</f>
        <v>2875.96408</v>
      </c>
      <c r="J202" s="9"/>
      <c r="K202" s="9"/>
      <c r="L202" s="9"/>
      <c r="M202" s="9"/>
      <c r="N202" s="13"/>
    </row>
    <row r="203" spans="1:14" ht="15.75" outlineLevel="1">
      <c r="A203" s="75" t="s">
        <v>577</v>
      </c>
      <c r="B203" s="56" t="s">
        <v>450</v>
      </c>
      <c r="C203" s="25" t="s">
        <v>314</v>
      </c>
      <c r="D203" s="33">
        <v>2</v>
      </c>
      <c r="E203" s="81">
        <v>2</v>
      </c>
      <c r="F203" s="80">
        <f t="shared" si="16"/>
        <v>1256.6525</v>
      </c>
      <c r="G203" s="15">
        <f t="shared" si="15"/>
        <v>1256.6525</v>
      </c>
      <c r="H203" s="21">
        <v>1256.6525</v>
      </c>
      <c r="I203" s="21">
        <f>1256652.5/1000</f>
        <v>1256.6525</v>
      </c>
      <c r="J203" s="9"/>
      <c r="K203" s="9"/>
      <c r="L203" s="9"/>
      <c r="M203" s="9"/>
      <c r="N203" s="13"/>
    </row>
    <row r="204" spans="1:14" ht="15.75" outlineLevel="1">
      <c r="A204" s="75" t="s">
        <v>578</v>
      </c>
      <c r="B204" s="56" t="s">
        <v>451</v>
      </c>
      <c r="C204" s="25" t="s">
        <v>314</v>
      </c>
      <c r="D204" s="33">
        <v>1</v>
      </c>
      <c r="E204" s="81">
        <v>1</v>
      </c>
      <c r="F204" s="80">
        <f t="shared" si="16"/>
        <v>644.7</v>
      </c>
      <c r="G204" s="15">
        <f t="shared" si="15"/>
        <v>644.7</v>
      </c>
      <c r="H204" s="21">
        <v>644.7</v>
      </c>
      <c r="I204" s="21">
        <f>644700/1000</f>
        <v>644.7</v>
      </c>
      <c r="J204" s="9"/>
      <c r="K204" s="9"/>
      <c r="L204" s="9"/>
      <c r="M204" s="9"/>
      <c r="N204" s="13"/>
    </row>
    <row r="205" spans="1:14" ht="31.5" outlineLevel="1">
      <c r="A205" s="75" t="s">
        <v>579</v>
      </c>
      <c r="B205" s="56" t="s">
        <v>452</v>
      </c>
      <c r="C205" s="25" t="s">
        <v>314</v>
      </c>
      <c r="D205" s="33">
        <v>116</v>
      </c>
      <c r="E205" s="81">
        <v>116</v>
      </c>
      <c r="F205" s="80">
        <f t="shared" si="16"/>
        <v>46353.484</v>
      </c>
      <c r="G205" s="15">
        <f t="shared" si="15"/>
        <v>46353.484</v>
      </c>
      <c r="H205" s="21">
        <v>46353.484</v>
      </c>
      <c r="I205" s="21">
        <f>46353484/1000</f>
        <v>46353.484</v>
      </c>
      <c r="J205" s="9"/>
      <c r="K205" s="9"/>
      <c r="L205" s="9"/>
      <c r="M205" s="9"/>
      <c r="N205" s="13"/>
    </row>
    <row r="206" spans="1:14" ht="15.75" outlineLevel="1">
      <c r="A206" s="75" t="s">
        <v>580</v>
      </c>
      <c r="B206" s="56" t="s">
        <v>453</v>
      </c>
      <c r="C206" s="25" t="s">
        <v>314</v>
      </c>
      <c r="D206" s="33">
        <v>8</v>
      </c>
      <c r="E206" s="81">
        <v>8</v>
      </c>
      <c r="F206" s="80">
        <f t="shared" si="16"/>
        <v>1871.2</v>
      </c>
      <c r="G206" s="15">
        <f t="shared" si="15"/>
        <v>1871.2</v>
      </c>
      <c r="H206" s="21">
        <v>1871.2</v>
      </c>
      <c r="I206" s="21">
        <f>1871200/1000</f>
        <v>1871.2</v>
      </c>
      <c r="J206" s="9"/>
      <c r="K206" s="9"/>
      <c r="L206" s="9"/>
      <c r="M206" s="9"/>
      <c r="N206" s="13"/>
    </row>
    <row r="207" spans="1:14" ht="31.5" outlineLevel="1">
      <c r="A207" s="75" t="s">
        <v>581</v>
      </c>
      <c r="B207" s="56" t="s">
        <v>454</v>
      </c>
      <c r="C207" s="25" t="s">
        <v>314</v>
      </c>
      <c r="D207" s="33">
        <v>10</v>
      </c>
      <c r="E207" s="81">
        <v>10</v>
      </c>
      <c r="F207" s="80">
        <f t="shared" si="16"/>
        <v>3707.991</v>
      </c>
      <c r="G207" s="15">
        <f t="shared" si="15"/>
        <v>3707.991</v>
      </c>
      <c r="H207" s="21">
        <v>3707.991</v>
      </c>
      <c r="I207" s="21">
        <f>3707991/1000</f>
        <v>3707.991</v>
      </c>
      <c r="J207" s="9"/>
      <c r="K207" s="9"/>
      <c r="L207" s="9"/>
      <c r="M207" s="9"/>
      <c r="N207" s="13"/>
    </row>
    <row r="208" spans="1:14" ht="15.75" outlineLevel="1">
      <c r="A208" s="75" t="s">
        <v>582</v>
      </c>
      <c r="B208" s="56" t="s">
        <v>455</v>
      </c>
      <c r="C208" s="25" t="s">
        <v>314</v>
      </c>
      <c r="D208" s="33">
        <v>4</v>
      </c>
      <c r="E208" s="81">
        <v>4</v>
      </c>
      <c r="F208" s="80">
        <f t="shared" si="16"/>
        <v>1072</v>
      </c>
      <c r="G208" s="15">
        <f t="shared" si="15"/>
        <v>1072</v>
      </c>
      <c r="H208" s="21">
        <v>1072</v>
      </c>
      <c r="I208" s="21">
        <f>1072000/1000</f>
        <v>1072</v>
      </c>
      <c r="J208" s="9"/>
      <c r="K208" s="9"/>
      <c r="L208" s="9"/>
      <c r="M208" s="9"/>
      <c r="N208" s="13"/>
    </row>
    <row r="209" spans="1:14" ht="15.75" outlineLevel="1">
      <c r="A209" s="75" t="s">
        <v>583</v>
      </c>
      <c r="B209" s="56" t="s">
        <v>456</v>
      </c>
      <c r="C209" s="25" t="s">
        <v>314</v>
      </c>
      <c r="D209" s="33">
        <v>4</v>
      </c>
      <c r="E209" s="81">
        <v>4</v>
      </c>
      <c r="F209" s="80">
        <f t="shared" si="16"/>
        <v>2600</v>
      </c>
      <c r="G209" s="15">
        <f t="shared" si="15"/>
        <v>2600</v>
      </c>
      <c r="H209" s="21">
        <v>2600</v>
      </c>
      <c r="I209" s="21">
        <f>2600000/1000</f>
        <v>2600</v>
      </c>
      <c r="J209" s="9"/>
      <c r="K209" s="9"/>
      <c r="L209" s="9"/>
      <c r="M209" s="9"/>
      <c r="N209" s="13"/>
    </row>
    <row r="210" spans="1:14" ht="15.75" outlineLevel="1">
      <c r="A210" s="75" t="s">
        <v>584</v>
      </c>
      <c r="B210" s="56" t="s">
        <v>457</v>
      </c>
      <c r="C210" s="25" t="s">
        <v>314</v>
      </c>
      <c r="D210" s="33">
        <v>4</v>
      </c>
      <c r="E210" s="81">
        <v>4</v>
      </c>
      <c r="F210" s="80">
        <f t="shared" si="16"/>
        <v>4432</v>
      </c>
      <c r="G210" s="15">
        <f t="shared" si="15"/>
        <v>4432</v>
      </c>
      <c r="H210" s="21">
        <v>4432</v>
      </c>
      <c r="I210" s="21">
        <f>4432000/1000</f>
        <v>4432</v>
      </c>
      <c r="J210" s="9"/>
      <c r="K210" s="9"/>
      <c r="L210" s="9"/>
      <c r="M210" s="9"/>
      <c r="N210" s="13"/>
    </row>
    <row r="211" spans="1:14" ht="15.75" outlineLevel="1">
      <c r="A211" s="75" t="s">
        <v>585</v>
      </c>
      <c r="B211" s="56" t="s">
        <v>458</v>
      </c>
      <c r="C211" s="25" t="s">
        <v>314</v>
      </c>
      <c r="D211" s="33">
        <v>4</v>
      </c>
      <c r="E211" s="81">
        <v>4</v>
      </c>
      <c r="F211" s="80">
        <f t="shared" si="16"/>
        <v>860</v>
      </c>
      <c r="G211" s="15">
        <f t="shared" si="15"/>
        <v>860</v>
      </c>
      <c r="H211" s="21">
        <v>860</v>
      </c>
      <c r="I211" s="21">
        <f>860000/1000</f>
        <v>860</v>
      </c>
      <c r="J211" s="9"/>
      <c r="K211" s="9"/>
      <c r="L211" s="9"/>
      <c r="M211" s="9"/>
      <c r="N211" s="13"/>
    </row>
    <row r="212" spans="1:14" ht="15.75" outlineLevel="1">
      <c r="A212" s="75" t="s">
        <v>586</v>
      </c>
      <c r="B212" s="56" t="s">
        <v>459</v>
      </c>
      <c r="C212" s="25" t="s">
        <v>314</v>
      </c>
      <c r="D212" s="33">
        <v>2</v>
      </c>
      <c r="E212" s="81">
        <v>2</v>
      </c>
      <c r="F212" s="80">
        <f t="shared" si="16"/>
        <v>139.36</v>
      </c>
      <c r="G212" s="15">
        <f t="shared" si="15"/>
        <v>0</v>
      </c>
      <c r="H212" s="21">
        <v>139.36</v>
      </c>
      <c r="I212" s="21">
        <v>0</v>
      </c>
      <c r="J212" s="9"/>
      <c r="K212" s="9"/>
      <c r="L212" s="9"/>
      <c r="M212" s="9"/>
      <c r="N212" s="13"/>
    </row>
    <row r="213" spans="1:14" ht="15.75" outlineLevel="1">
      <c r="A213" s="75" t="s">
        <v>587</v>
      </c>
      <c r="B213" s="56" t="s">
        <v>460</v>
      </c>
      <c r="C213" s="25" t="s">
        <v>314</v>
      </c>
      <c r="D213" s="33">
        <v>4</v>
      </c>
      <c r="E213" s="81">
        <v>4</v>
      </c>
      <c r="F213" s="80">
        <f t="shared" si="16"/>
        <v>2647.36648</v>
      </c>
      <c r="G213" s="15">
        <f t="shared" si="15"/>
        <v>2647.36648</v>
      </c>
      <c r="H213" s="21">
        <v>2647.36648</v>
      </c>
      <c r="I213" s="21">
        <f>2647366.48/1000</f>
        <v>2647.36648</v>
      </c>
      <c r="J213" s="9"/>
      <c r="K213" s="9"/>
      <c r="L213" s="9"/>
      <c r="M213" s="9"/>
      <c r="N213" s="13"/>
    </row>
    <row r="214" spans="1:14" ht="15.75" outlineLevel="1">
      <c r="A214" s="75" t="s">
        <v>588</v>
      </c>
      <c r="B214" s="56" t="s">
        <v>461</v>
      </c>
      <c r="C214" s="25" t="s">
        <v>314</v>
      </c>
      <c r="D214" s="33">
        <v>5</v>
      </c>
      <c r="E214" s="81">
        <v>5</v>
      </c>
      <c r="F214" s="80">
        <f t="shared" si="16"/>
        <v>1390</v>
      </c>
      <c r="G214" s="15">
        <f t="shared" si="15"/>
        <v>1390</v>
      </c>
      <c r="H214" s="21">
        <v>1390</v>
      </c>
      <c r="I214" s="21">
        <f>1390000/1000</f>
        <v>1390</v>
      </c>
      <c r="J214" s="9"/>
      <c r="K214" s="9"/>
      <c r="L214" s="9"/>
      <c r="M214" s="9"/>
      <c r="N214" s="13"/>
    </row>
    <row r="215" spans="1:14" ht="15.75" outlineLevel="1">
      <c r="A215" s="75" t="s">
        <v>589</v>
      </c>
      <c r="B215" s="56" t="s">
        <v>462</v>
      </c>
      <c r="C215" s="25" t="s">
        <v>314</v>
      </c>
      <c r="D215" s="33">
        <v>15</v>
      </c>
      <c r="E215" s="81">
        <v>15</v>
      </c>
      <c r="F215" s="80">
        <f t="shared" si="16"/>
        <v>2080.5</v>
      </c>
      <c r="G215" s="15">
        <f t="shared" si="15"/>
        <v>2080.5</v>
      </c>
      <c r="H215" s="21">
        <v>2080.5</v>
      </c>
      <c r="I215" s="21">
        <f>2080500/1000</f>
        <v>2080.5</v>
      </c>
      <c r="J215" s="9"/>
      <c r="K215" s="9"/>
      <c r="L215" s="9"/>
      <c r="M215" s="9"/>
      <c r="N215" s="13"/>
    </row>
    <row r="216" spans="1:14" ht="15.75" outlineLevel="1">
      <c r="A216" s="75" t="s">
        <v>590</v>
      </c>
      <c r="B216" s="56" t="s">
        <v>463</v>
      </c>
      <c r="C216" s="25" t="s">
        <v>314</v>
      </c>
      <c r="D216" s="33">
        <v>20</v>
      </c>
      <c r="E216" s="81">
        <v>20</v>
      </c>
      <c r="F216" s="80">
        <f t="shared" si="16"/>
        <v>2692.4</v>
      </c>
      <c r="G216" s="15">
        <f t="shared" si="15"/>
        <v>2692.4</v>
      </c>
      <c r="H216" s="21">
        <v>2692.4</v>
      </c>
      <c r="I216" s="21">
        <f>2692400/1000</f>
        <v>2692.4</v>
      </c>
      <c r="J216" s="9"/>
      <c r="K216" s="9"/>
      <c r="L216" s="9"/>
      <c r="M216" s="9"/>
      <c r="N216" s="13"/>
    </row>
    <row r="217" spans="1:14" ht="15.75" outlineLevel="1">
      <c r="A217" s="75" t="s">
        <v>591</v>
      </c>
      <c r="B217" s="56" t="s">
        <v>464</v>
      </c>
      <c r="C217" s="25" t="s">
        <v>314</v>
      </c>
      <c r="D217" s="33">
        <v>21</v>
      </c>
      <c r="E217" s="81">
        <v>21</v>
      </c>
      <c r="F217" s="80">
        <f t="shared" si="16"/>
        <v>3026.2554</v>
      </c>
      <c r="G217" s="15">
        <f t="shared" si="15"/>
        <v>3026.2554</v>
      </c>
      <c r="H217" s="21">
        <v>3026.2554</v>
      </c>
      <c r="I217" s="21">
        <f>3026255.4/1000</f>
        <v>3026.2554</v>
      </c>
      <c r="J217" s="9"/>
      <c r="K217" s="9"/>
      <c r="L217" s="9"/>
      <c r="M217" s="9"/>
      <c r="N217" s="13"/>
    </row>
    <row r="218" spans="1:14" ht="15.75" outlineLevel="1">
      <c r="A218" s="75" t="s">
        <v>592</v>
      </c>
      <c r="B218" s="56" t="s">
        <v>465</v>
      </c>
      <c r="C218" s="25" t="s">
        <v>314</v>
      </c>
      <c r="D218" s="33">
        <v>1</v>
      </c>
      <c r="E218" s="81">
        <v>1</v>
      </c>
      <c r="F218" s="80">
        <f t="shared" si="16"/>
        <v>73.30085000000001</v>
      </c>
      <c r="G218" s="15">
        <f t="shared" si="15"/>
        <v>0</v>
      </c>
      <c r="H218" s="21">
        <v>73.30085000000001</v>
      </c>
      <c r="I218" s="21">
        <v>0</v>
      </c>
      <c r="J218" s="9"/>
      <c r="K218" s="9"/>
      <c r="L218" s="9"/>
      <c r="M218" s="9"/>
      <c r="N218" s="13"/>
    </row>
    <row r="219" spans="1:14" ht="31.5" outlineLevel="1">
      <c r="A219" s="75" t="s">
        <v>593</v>
      </c>
      <c r="B219" s="56" t="s">
        <v>466</v>
      </c>
      <c r="C219" s="25" t="s">
        <v>314</v>
      </c>
      <c r="D219" s="33">
        <v>30</v>
      </c>
      <c r="E219" s="81">
        <v>30</v>
      </c>
      <c r="F219" s="80">
        <f t="shared" si="16"/>
        <v>4044</v>
      </c>
      <c r="G219" s="15">
        <f t="shared" si="15"/>
        <v>4044</v>
      </c>
      <c r="H219" s="21">
        <v>4044</v>
      </c>
      <c r="I219" s="21">
        <f>4044000/1000</f>
        <v>4044</v>
      </c>
      <c r="J219" s="9"/>
      <c r="K219" s="9"/>
      <c r="L219" s="9"/>
      <c r="M219" s="9"/>
      <c r="N219" s="13"/>
    </row>
    <row r="220" spans="1:14" ht="15.75" outlineLevel="1">
      <c r="A220" s="75" t="s">
        <v>594</v>
      </c>
      <c r="B220" s="56" t="s">
        <v>467</v>
      </c>
      <c r="C220" s="25" t="s">
        <v>314</v>
      </c>
      <c r="D220" s="33">
        <v>91</v>
      </c>
      <c r="E220" s="81">
        <v>91</v>
      </c>
      <c r="F220" s="80">
        <f t="shared" si="16"/>
        <v>40677</v>
      </c>
      <c r="G220" s="15">
        <f t="shared" si="15"/>
        <v>40677</v>
      </c>
      <c r="H220" s="21">
        <v>40677</v>
      </c>
      <c r="I220" s="21">
        <f>40677000/1000</f>
        <v>40677</v>
      </c>
      <c r="J220" s="9"/>
      <c r="K220" s="9"/>
      <c r="L220" s="9"/>
      <c r="M220" s="9"/>
      <c r="N220" s="13"/>
    </row>
    <row r="221" spans="1:14" ht="15.75" outlineLevel="1">
      <c r="A221" s="75" t="s">
        <v>595</v>
      </c>
      <c r="B221" s="56" t="s">
        <v>468</v>
      </c>
      <c r="C221" s="25" t="s">
        <v>314</v>
      </c>
      <c r="D221" s="33">
        <v>15</v>
      </c>
      <c r="E221" s="81">
        <v>15</v>
      </c>
      <c r="F221" s="80">
        <f t="shared" si="16"/>
        <v>345</v>
      </c>
      <c r="G221" s="15">
        <f t="shared" si="15"/>
        <v>345</v>
      </c>
      <c r="H221" s="21">
        <v>345</v>
      </c>
      <c r="I221" s="21">
        <f>345000/1000</f>
        <v>345</v>
      </c>
      <c r="J221" s="9"/>
      <c r="K221" s="9"/>
      <c r="L221" s="9"/>
      <c r="M221" s="9"/>
      <c r="N221" s="13"/>
    </row>
    <row r="222" spans="1:14" ht="15.75" outlineLevel="1">
      <c r="A222" s="75" t="s">
        <v>596</v>
      </c>
      <c r="B222" s="56" t="s">
        <v>469</v>
      </c>
      <c r="C222" s="25" t="s">
        <v>314</v>
      </c>
      <c r="D222" s="33">
        <v>9</v>
      </c>
      <c r="E222" s="81">
        <v>9</v>
      </c>
      <c r="F222" s="80">
        <f t="shared" si="16"/>
        <v>207</v>
      </c>
      <c r="G222" s="15">
        <f t="shared" si="15"/>
        <v>207</v>
      </c>
      <c r="H222" s="21">
        <v>207</v>
      </c>
      <c r="I222" s="21">
        <f>207000/1000</f>
        <v>207</v>
      </c>
      <c r="J222" s="9"/>
      <c r="K222" s="9"/>
      <c r="L222" s="9"/>
      <c r="M222" s="9"/>
      <c r="N222" s="13"/>
    </row>
    <row r="223" spans="1:14" ht="15.75" outlineLevel="1">
      <c r="A223" s="75" t="s">
        <v>597</v>
      </c>
      <c r="B223" s="56" t="s">
        <v>470</v>
      </c>
      <c r="C223" s="25" t="s">
        <v>314</v>
      </c>
      <c r="D223" s="33">
        <v>3</v>
      </c>
      <c r="E223" s="81">
        <v>3</v>
      </c>
      <c r="F223" s="80">
        <f t="shared" si="16"/>
        <v>69.3</v>
      </c>
      <c r="G223" s="15">
        <f t="shared" si="15"/>
        <v>69.3</v>
      </c>
      <c r="H223" s="21">
        <v>69.3</v>
      </c>
      <c r="I223" s="21">
        <f>69300/1000</f>
        <v>69.3</v>
      </c>
      <c r="J223" s="9"/>
      <c r="K223" s="9"/>
      <c r="L223" s="9"/>
      <c r="M223" s="9"/>
      <c r="N223" s="13"/>
    </row>
    <row r="224" spans="1:14" ht="15.75" outlineLevel="1">
      <c r="A224" s="75" t="s">
        <v>598</v>
      </c>
      <c r="B224" s="56" t="s">
        <v>471</v>
      </c>
      <c r="C224" s="25" t="s">
        <v>314</v>
      </c>
      <c r="D224" s="33">
        <v>4</v>
      </c>
      <c r="E224" s="81">
        <v>4</v>
      </c>
      <c r="F224" s="80">
        <f t="shared" si="16"/>
        <v>421.784</v>
      </c>
      <c r="G224" s="15">
        <f t="shared" si="15"/>
        <v>421.784</v>
      </c>
      <c r="H224" s="21">
        <v>421.784</v>
      </c>
      <c r="I224" s="21">
        <f>421784/1000</f>
        <v>421.784</v>
      </c>
      <c r="J224" s="9"/>
      <c r="K224" s="9"/>
      <c r="L224" s="9"/>
      <c r="M224" s="9"/>
      <c r="N224" s="13"/>
    </row>
    <row r="225" spans="1:14" ht="15.75" outlineLevel="1">
      <c r="A225" s="75" t="s">
        <v>599</v>
      </c>
      <c r="B225" s="56" t="s">
        <v>472</v>
      </c>
      <c r="C225" s="25" t="s">
        <v>314</v>
      </c>
      <c r="D225" s="33">
        <v>5</v>
      </c>
      <c r="E225" s="81">
        <v>5</v>
      </c>
      <c r="F225" s="80">
        <f t="shared" si="16"/>
        <v>532.18</v>
      </c>
      <c r="G225" s="15">
        <f t="shared" si="15"/>
        <v>532.18</v>
      </c>
      <c r="H225" s="21">
        <v>532.18</v>
      </c>
      <c r="I225" s="21">
        <f>532180/1000</f>
        <v>532.18</v>
      </c>
      <c r="J225" s="9"/>
      <c r="K225" s="9"/>
      <c r="L225" s="9"/>
      <c r="M225" s="9"/>
      <c r="N225" s="13"/>
    </row>
    <row r="226" spans="1:14" ht="15.75" outlineLevel="1">
      <c r="A226" s="75" t="s">
        <v>600</v>
      </c>
      <c r="B226" s="56" t="s">
        <v>473</v>
      </c>
      <c r="C226" s="25" t="s">
        <v>314</v>
      </c>
      <c r="D226" s="33">
        <v>68</v>
      </c>
      <c r="E226" s="81">
        <v>68</v>
      </c>
      <c r="F226" s="80">
        <f t="shared" si="16"/>
        <v>7177.06</v>
      </c>
      <c r="G226" s="15">
        <f t="shared" si="15"/>
        <v>7177.06</v>
      </c>
      <c r="H226" s="21">
        <v>7177.06</v>
      </c>
      <c r="I226" s="21">
        <f>7177060/1000</f>
        <v>7177.06</v>
      </c>
      <c r="J226" s="9"/>
      <c r="K226" s="9"/>
      <c r="L226" s="9"/>
      <c r="M226" s="9"/>
      <c r="N226" s="13"/>
    </row>
    <row r="227" spans="1:14" ht="63" outlineLevel="1">
      <c r="A227" s="75" t="s">
        <v>601</v>
      </c>
      <c r="B227" s="56" t="s">
        <v>474</v>
      </c>
      <c r="C227" s="25" t="s">
        <v>313</v>
      </c>
      <c r="D227" s="33">
        <v>1</v>
      </c>
      <c r="E227" s="81">
        <v>1</v>
      </c>
      <c r="F227" s="80">
        <f t="shared" si="16"/>
        <v>2523.31832</v>
      </c>
      <c r="G227" s="15">
        <f t="shared" si="15"/>
        <v>0</v>
      </c>
      <c r="H227" s="21">
        <v>2523.31832</v>
      </c>
      <c r="I227" s="21">
        <v>0</v>
      </c>
      <c r="J227" s="9"/>
      <c r="K227" s="9"/>
      <c r="L227" s="9"/>
      <c r="M227" s="9"/>
      <c r="N227" s="13"/>
    </row>
    <row r="228" spans="1:14" ht="15.75" outlineLevel="1">
      <c r="A228" s="75" t="s">
        <v>602</v>
      </c>
      <c r="B228" s="56" t="s">
        <v>475</v>
      </c>
      <c r="C228" s="25" t="s">
        <v>314</v>
      </c>
      <c r="D228" s="33">
        <v>2</v>
      </c>
      <c r="E228" s="81">
        <v>2</v>
      </c>
      <c r="F228" s="80">
        <f t="shared" si="16"/>
        <v>145.01760000000002</v>
      </c>
      <c r="G228" s="15">
        <f t="shared" si="15"/>
        <v>0</v>
      </c>
      <c r="H228" s="21">
        <v>145.01760000000002</v>
      </c>
      <c r="I228" s="21">
        <v>0</v>
      </c>
      <c r="J228" s="9"/>
      <c r="K228" s="9"/>
      <c r="L228" s="9"/>
      <c r="M228" s="9"/>
      <c r="N228" s="13"/>
    </row>
    <row r="229" spans="1:14" ht="31.5" outlineLevel="1">
      <c r="A229" s="75" t="s">
        <v>603</v>
      </c>
      <c r="B229" s="56" t="s">
        <v>476</v>
      </c>
      <c r="C229" s="25" t="s">
        <v>314</v>
      </c>
      <c r="D229" s="33">
        <v>5</v>
      </c>
      <c r="E229" s="81">
        <v>5</v>
      </c>
      <c r="F229" s="80">
        <f t="shared" si="16"/>
        <v>11550.775</v>
      </c>
      <c r="G229" s="15">
        <f t="shared" si="15"/>
        <v>11165</v>
      </c>
      <c r="H229" s="21">
        <v>11550.775</v>
      </c>
      <c r="I229" s="21">
        <f>11165000/1000</f>
        <v>11165</v>
      </c>
      <c r="J229" s="9"/>
      <c r="K229" s="9"/>
      <c r="L229" s="9"/>
      <c r="M229" s="9"/>
      <c r="N229" s="13"/>
    </row>
    <row r="230" spans="1:14" ht="15.75" outlineLevel="1">
      <c r="A230" s="75" t="s">
        <v>604</v>
      </c>
      <c r="B230" s="56" t="s">
        <v>477</v>
      </c>
      <c r="C230" s="25" t="s">
        <v>314</v>
      </c>
      <c r="D230" s="33">
        <v>2</v>
      </c>
      <c r="E230" s="81">
        <v>2</v>
      </c>
      <c r="F230" s="80">
        <f t="shared" si="16"/>
        <v>74.20812</v>
      </c>
      <c r="G230" s="15">
        <f t="shared" si="15"/>
        <v>74.20812</v>
      </c>
      <c r="H230" s="21">
        <v>74.20812</v>
      </c>
      <c r="I230" s="21">
        <f>74208.12/1000</f>
        <v>74.20812</v>
      </c>
      <c r="J230" s="9"/>
      <c r="K230" s="9"/>
      <c r="L230" s="9"/>
      <c r="M230" s="9"/>
      <c r="N230" s="13"/>
    </row>
    <row r="231" spans="1:14" ht="15.75" outlineLevel="1">
      <c r="A231" s="75" t="s">
        <v>605</v>
      </c>
      <c r="B231" s="56" t="s">
        <v>478</v>
      </c>
      <c r="C231" s="25" t="s">
        <v>314</v>
      </c>
      <c r="D231" s="33">
        <v>40</v>
      </c>
      <c r="E231" s="81">
        <v>40</v>
      </c>
      <c r="F231" s="80">
        <f t="shared" si="16"/>
        <v>12828.193600000002</v>
      </c>
      <c r="G231" s="15">
        <f t="shared" si="15"/>
        <v>12544</v>
      </c>
      <c r="H231" s="21">
        <v>12828.193600000002</v>
      </c>
      <c r="I231" s="21">
        <f>12544000/1000</f>
        <v>12544</v>
      </c>
      <c r="J231" s="9"/>
      <c r="K231" s="9"/>
      <c r="L231" s="9"/>
      <c r="M231" s="9"/>
      <c r="N231" s="13"/>
    </row>
    <row r="232" spans="1:14" ht="31.5" outlineLevel="1">
      <c r="A232" s="75" t="s">
        <v>606</v>
      </c>
      <c r="B232" s="56" t="s">
        <v>479</v>
      </c>
      <c r="C232" s="25" t="s">
        <v>314</v>
      </c>
      <c r="D232" s="33">
        <v>11</v>
      </c>
      <c r="E232" s="81">
        <v>11</v>
      </c>
      <c r="F232" s="80">
        <f t="shared" si="16"/>
        <v>8084.666699999999</v>
      </c>
      <c r="G232" s="15">
        <f t="shared" si="15"/>
        <v>8084.6667</v>
      </c>
      <c r="H232" s="21">
        <v>8084.666699999999</v>
      </c>
      <c r="I232" s="21">
        <f>8084666.7/1000</f>
        <v>8084.6667</v>
      </c>
      <c r="J232" s="9"/>
      <c r="K232" s="9"/>
      <c r="L232" s="9"/>
      <c r="M232" s="9"/>
      <c r="N232" s="13"/>
    </row>
    <row r="233" spans="1:14" ht="31.5" outlineLevel="1">
      <c r="A233" s="75" t="s">
        <v>607</v>
      </c>
      <c r="B233" s="56" t="s">
        <v>480</v>
      </c>
      <c r="C233" s="25" t="s">
        <v>313</v>
      </c>
      <c r="D233" s="33">
        <v>1</v>
      </c>
      <c r="E233" s="81">
        <v>1</v>
      </c>
      <c r="F233" s="80">
        <f t="shared" si="16"/>
        <v>359.7</v>
      </c>
      <c r="G233" s="15">
        <f t="shared" si="15"/>
        <v>359.7</v>
      </c>
      <c r="H233" s="21">
        <v>359.7</v>
      </c>
      <c r="I233" s="21">
        <f>359700/1000</f>
        <v>359.7</v>
      </c>
      <c r="J233" s="9"/>
      <c r="K233" s="9"/>
      <c r="L233" s="9"/>
      <c r="M233" s="9"/>
      <c r="N233" s="13"/>
    </row>
    <row r="234" spans="1:14" ht="31.5" outlineLevel="1">
      <c r="A234" s="75" t="s">
        <v>608</v>
      </c>
      <c r="B234" s="56" t="s">
        <v>481</v>
      </c>
      <c r="C234" s="25" t="s">
        <v>313</v>
      </c>
      <c r="D234" s="33">
        <v>2</v>
      </c>
      <c r="E234" s="81">
        <v>2</v>
      </c>
      <c r="F234" s="80">
        <f t="shared" si="16"/>
        <v>779.4</v>
      </c>
      <c r="G234" s="15">
        <f t="shared" si="15"/>
        <v>779.4</v>
      </c>
      <c r="H234" s="21">
        <v>779.4</v>
      </c>
      <c r="I234" s="21">
        <f>779400/1000</f>
        <v>779.4</v>
      </c>
      <c r="J234" s="9"/>
      <c r="K234" s="9"/>
      <c r="L234" s="9"/>
      <c r="M234" s="9"/>
      <c r="N234" s="13"/>
    </row>
    <row r="235" spans="1:14" ht="31.5" outlineLevel="1">
      <c r="A235" s="75" t="s">
        <v>609</v>
      </c>
      <c r="B235" s="56" t="s">
        <v>482</v>
      </c>
      <c r="C235" s="25" t="s">
        <v>314</v>
      </c>
      <c r="D235" s="33">
        <v>21</v>
      </c>
      <c r="E235" s="81">
        <v>21</v>
      </c>
      <c r="F235" s="80">
        <f t="shared" si="16"/>
        <v>1098.3</v>
      </c>
      <c r="G235" s="15">
        <f t="shared" si="15"/>
        <v>0</v>
      </c>
      <c r="H235" s="21">
        <v>1098.3</v>
      </c>
      <c r="I235" s="21">
        <v>0</v>
      </c>
      <c r="J235" s="9"/>
      <c r="K235" s="9"/>
      <c r="L235" s="9"/>
      <c r="M235" s="9"/>
      <c r="N235" s="13"/>
    </row>
    <row r="236" spans="1:14" ht="31.5" outlineLevel="1">
      <c r="A236" s="75" t="s">
        <v>610</v>
      </c>
      <c r="B236" s="56" t="s">
        <v>483</v>
      </c>
      <c r="C236" s="25" t="s">
        <v>314</v>
      </c>
      <c r="D236" s="33">
        <v>10</v>
      </c>
      <c r="E236" s="81">
        <v>10</v>
      </c>
      <c r="F236" s="80">
        <f t="shared" si="16"/>
        <v>523</v>
      </c>
      <c r="G236" s="15">
        <f t="shared" si="15"/>
        <v>0</v>
      </c>
      <c r="H236" s="21">
        <v>523</v>
      </c>
      <c r="I236" s="21">
        <v>0</v>
      </c>
      <c r="J236" s="9"/>
      <c r="K236" s="9"/>
      <c r="L236" s="9"/>
      <c r="M236" s="9"/>
      <c r="N236" s="13"/>
    </row>
    <row r="237" spans="1:14" ht="31.5" outlineLevel="1">
      <c r="A237" s="75" t="s">
        <v>611</v>
      </c>
      <c r="B237" s="56" t="s">
        <v>484</v>
      </c>
      <c r="C237" s="25" t="s">
        <v>314</v>
      </c>
      <c r="D237" s="33">
        <v>3</v>
      </c>
      <c r="E237" s="81">
        <v>3</v>
      </c>
      <c r="F237" s="80">
        <f t="shared" si="16"/>
        <v>42300</v>
      </c>
      <c r="G237" s="15">
        <f t="shared" si="15"/>
        <v>42300</v>
      </c>
      <c r="H237" s="21">
        <v>42300</v>
      </c>
      <c r="I237" s="21">
        <f>42300000/1000</f>
        <v>42300</v>
      </c>
      <c r="J237" s="9"/>
      <c r="K237" s="9"/>
      <c r="L237" s="9"/>
      <c r="M237" s="9"/>
      <c r="N237" s="13"/>
    </row>
    <row r="238" spans="1:14" ht="47.25" outlineLevel="1">
      <c r="A238" s="75" t="s">
        <v>612</v>
      </c>
      <c r="B238" s="56" t="s">
        <v>485</v>
      </c>
      <c r="C238" s="25" t="s">
        <v>314</v>
      </c>
      <c r="D238" s="33">
        <v>15</v>
      </c>
      <c r="E238" s="81">
        <v>15</v>
      </c>
      <c r="F238" s="80">
        <f t="shared" si="16"/>
        <v>1890</v>
      </c>
      <c r="G238" s="15">
        <f t="shared" si="15"/>
        <v>1890</v>
      </c>
      <c r="H238" s="21">
        <v>1890</v>
      </c>
      <c r="I238" s="21">
        <f>1890000/1000</f>
        <v>1890</v>
      </c>
      <c r="J238" s="9"/>
      <c r="K238" s="9"/>
      <c r="L238" s="9"/>
      <c r="M238" s="9"/>
      <c r="N238" s="13"/>
    </row>
    <row r="239" spans="1:14" ht="15.75" outlineLevel="1">
      <c r="A239" s="75" t="s">
        <v>613</v>
      </c>
      <c r="B239" s="56" t="s">
        <v>486</v>
      </c>
      <c r="C239" s="25" t="s">
        <v>314</v>
      </c>
      <c r="D239" s="33">
        <v>10</v>
      </c>
      <c r="E239" s="81">
        <v>10</v>
      </c>
      <c r="F239" s="80">
        <f t="shared" si="16"/>
        <v>598.12</v>
      </c>
      <c r="G239" s="15">
        <f t="shared" si="15"/>
        <v>598.12</v>
      </c>
      <c r="H239" s="21">
        <v>598.12</v>
      </c>
      <c r="I239" s="21">
        <f>598120/1000</f>
        <v>598.12</v>
      </c>
      <c r="J239" s="9"/>
      <c r="K239" s="9"/>
      <c r="L239" s="9"/>
      <c r="M239" s="9"/>
      <c r="N239" s="13"/>
    </row>
    <row r="240" spans="1:14" ht="15.75" outlineLevel="1">
      <c r="A240" s="75" t="s">
        <v>614</v>
      </c>
      <c r="B240" s="56" t="s">
        <v>487</v>
      </c>
      <c r="C240" s="25" t="s">
        <v>314</v>
      </c>
      <c r="D240" s="33">
        <v>10</v>
      </c>
      <c r="E240" s="81">
        <v>10</v>
      </c>
      <c r="F240" s="80">
        <f t="shared" si="16"/>
        <v>5540.404</v>
      </c>
      <c r="G240" s="15">
        <f t="shared" si="15"/>
        <v>5540.404</v>
      </c>
      <c r="H240" s="21">
        <v>5540.404</v>
      </c>
      <c r="I240" s="21">
        <f>5540404/1000</f>
        <v>5540.404</v>
      </c>
      <c r="J240" s="9"/>
      <c r="K240" s="9"/>
      <c r="L240" s="9"/>
      <c r="M240" s="9"/>
      <c r="N240" s="13"/>
    </row>
    <row r="241" spans="1:14" ht="31.5" outlineLevel="1">
      <c r="A241" s="75" t="s">
        <v>615</v>
      </c>
      <c r="B241" s="56" t="s">
        <v>488</v>
      </c>
      <c r="C241" s="25" t="s">
        <v>314</v>
      </c>
      <c r="D241" s="33">
        <v>3</v>
      </c>
      <c r="E241" s="81">
        <v>3</v>
      </c>
      <c r="F241" s="80">
        <f t="shared" si="16"/>
        <v>2567.1</v>
      </c>
      <c r="G241" s="15">
        <f t="shared" si="15"/>
        <v>2561.7</v>
      </c>
      <c r="H241" s="21">
        <v>2567.1</v>
      </c>
      <c r="I241" s="21">
        <f>2561700/1000</f>
        <v>2561.7</v>
      </c>
      <c r="J241" s="9"/>
      <c r="K241" s="9"/>
      <c r="L241" s="9"/>
      <c r="M241" s="9"/>
      <c r="N241" s="13"/>
    </row>
    <row r="242" spans="1:14" ht="31.5" outlineLevel="1">
      <c r="A242" s="75" t="s">
        <v>616</v>
      </c>
      <c r="B242" s="56" t="s">
        <v>489</v>
      </c>
      <c r="C242" s="25" t="s">
        <v>314</v>
      </c>
      <c r="D242" s="33">
        <v>3</v>
      </c>
      <c r="E242" s="81">
        <v>3</v>
      </c>
      <c r="F242" s="80">
        <f t="shared" si="16"/>
        <v>2561.7</v>
      </c>
      <c r="G242" s="15">
        <f t="shared" si="15"/>
        <v>2561.7</v>
      </c>
      <c r="H242" s="21">
        <v>2561.7</v>
      </c>
      <c r="I242" s="21">
        <f>2561700/1000</f>
        <v>2561.7</v>
      </c>
      <c r="J242" s="9"/>
      <c r="K242" s="9"/>
      <c r="L242" s="9"/>
      <c r="M242" s="9"/>
      <c r="N242" s="13"/>
    </row>
    <row r="243" spans="1:14" ht="31.5" outlineLevel="1">
      <c r="A243" s="75" t="s">
        <v>617</v>
      </c>
      <c r="B243" s="56" t="s">
        <v>490</v>
      </c>
      <c r="C243" s="25" t="s">
        <v>314</v>
      </c>
      <c r="D243" s="33">
        <v>3</v>
      </c>
      <c r="E243" s="81">
        <v>3</v>
      </c>
      <c r="F243" s="80">
        <f t="shared" si="16"/>
        <v>2561.7</v>
      </c>
      <c r="G243" s="15">
        <f t="shared" si="15"/>
        <v>2561.7</v>
      </c>
      <c r="H243" s="21">
        <v>2561.7</v>
      </c>
      <c r="I243" s="21">
        <f>2561700/1000</f>
        <v>2561.7</v>
      </c>
      <c r="J243" s="9"/>
      <c r="K243" s="9"/>
      <c r="L243" s="9"/>
      <c r="M243" s="9"/>
      <c r="N243" s="13"/>
    </row>
    <row r="244" spans="1:14" ht="15.75" outlineLevel="1">
      <c r="A244" s="75" t="s">
        <v>618</v>
      </c>
      <c r="B244" s="56" t="s">
        <v>491</v>
      </c>
      <c r="C244" s="25" t="s">
        <v>314</v>
      </c>
      <c r="D244" s="33">
        <v>79</v>
      </c>
      <c r="E244" s="81">
        <v>79</v>
      </c>
      <c r="F244" s="80">
        <f t="shared" si="16"/>
        <v>8368.707</v>
      </c>
      <c r="G244" s="15">
        <f t="shared" si="15"/>
        <v>8368.707</v>
      </c>
      <c r="H244" s="21">
        <v>8368.707</v>
      </c>
      <c r="I244" s="21">
        <f>8368707/1000</f>
        <v>8368.707</v>
      </c>
      <c r="J244" s="9"/>
      <c r="K244" s="9"/>
      <c r="L244" s="9"/>
      <c r="M244" s="9"/>
      <c r="N244" s="13"/>
    </row>
    <row r="245" spans="1:14" ht="15.75" outlineLevel="1">
      <c r="A245" s="75" t="s">
        <v>619</v>
      </c>
      <c r="B245" s="56" t="s">
        <v>492</v>
      </c>
      <c r="C245" s="25" t="s">
        <v>314</v>
      </c>
      <c r="D245" s="33">
        <v>3</v>
      </c>
      <c r="E245" s="81">
        <v>3</v>
      </c>
      <c r="F245" s="80">
        <f t="shared" si="16"/>
        <v>739.36875</v>
      </c>
      <c r="G245" s="15">
        <f t="shared" si="15"/>
        <v>735.96696</v>
      </c>
      <c r="H245" s="21">
        <v>739.36875</v>
      </c>
      <c r="I245" s="21">
        <f>735966.96/1000</f>
        <v>735.96696</v>
      </c>
      <c r="J245" s="9"/>
      <c r="K245" s="9"/>
      <c r="L245" s="9"/>
      <c r="M245" s="9"/>
      <c r="N245" s="13"/>
    </row>
    <row r="246" spans="1:14" ht="31.5" outlineLevel="1">
      <c r="A246" s="75" t="s">
        <v>620</v>
      </c>
      <c r="B246" s="56" t="s">
        <v>493</v>
      </c>
      <c r="C246" s="25" t="s">
        <v>314</v>
      </c>
      <c r="D246" s="33">
        <v>2</v>
      </c>
      <c r="E246" s="81">
        <v>2</v>
      </c>
      <c r="F246" s="80">
        <f t="shared" si="16"/>
        <v>4032.84</v>
      </c>
      <c r="G246" s="15">
        <f t="shared" si="15"/>
        <v>3780</v>
      </c>
      <c r="H246" s="21">
        <v>4032.84</v>
      </c>
      <c r="I246" s="21">
        <f>3780000/1000</f>
        <v>3780</v>
      </c>
      <c r="J246" s="9"/>
      <c r="K246" s="9"/>
      <c r="L246" s="9"/>
      <c r="M246" s="9"/>
      <c r="N246" s="13"/>
    </row>
    <row r="247" spans="1:14" ht="31.5" outlineLevel="1">
      <c r="A247" s="75" t="s">
        <v>621</v>
      </c>
      <c r="B247" s="56" t="s">
        <v>494</v>
      </c>
      <c r="C247" s="25" t="s">
        <v>314</v>
      </c>
      <c r="D247" s="33">
        <v>2</v>
      </c>
      <c r="E247" s="81">
        <v>2</v>
      </c>
      <c r="F247" s="80">
        <f t="shared" si="16"/>
        <v>4311.7</v>
      </c>
      <c r="G247" s="15">
        <f aca="true" t="shared" si="17" ref="G247:G252">I247+K247+M247</f>
        <v>3780</v>
      </c>
      <c r="H247" s="21">
        <v>4311.7</v>
      </c>
      <c r="I247" s="21">
        <f>3780000/1000</f>
        <v>3780</v>
      </c>
      <c r="J247" s="9"/>
      <c r="K247" s="9"/>
      <c r="L247" s="9"/>
      <c r="M247" s="9"/>
      <c r="N247" s="13"/>
    </row>
    <row r="248" spans="1:14" ht="15.75" outlineLevel="1">
      <c r="A248" s="75" t="s">
        <v>622</v>
      </c>
      <c r="B248" s="56" t="s">
        <v>495</v>
      </c>
      <c r="C248" s="25" t="s">
        <v>314</v>
      </c>
      <c r="D248" s="33">
        <v>3</v>
      </c>
      <c r="E248" s="81">
        <v>3</v>
      </c>
      <c r="F248" s="80">
        <f t="shared" si="16"/>
        <v>8649.68841</v>
      </c>
      <c r="G248" s="15">
        <f t="shared" si="17"/>
        <v>8649.68841</v>
      </c>
      <c r="H248" s="21">
        <v>8649.68841</v>
      </c>
      <c r="I248" s="21">
        <f>8649688.41/1000</f>
        <v>8649.68841</v>
      </c>
      <c r="J248" s="9"/>
      <c r="K248" s="9"/>
      <c r="L248" s="9"/>
      <c r="M248" s="9"/>
      <c r="N248" s="13"/>
    </row>
    <row r="249" spans="1:14" ht="15.75" outlineLevel="1">
      <c r="A249" s="75"/>
      <c r="B249" s="91" t="s">
        <v>467</v>
      </c>
      <c r="C249" s="25" t="s">
        <v>314</v>
      </c>
      <c r="D249" s="33"/>
      <c r="E249" s="81">
        <v>2</v>
      </c>
      <c r="F249" s="80">
        <f t="shared" si="16"/>
        <v>0</v>
      </c>
      <c r="G249" s="15">
        <f t="shared" si="17"/>
        <v>850</v>
      </c>
      <c r="H249" s="21">
        <v>0</v>
      </c>
      <c r="I249" s="21">
        <v>850</v>
      </c>
      <c r="J249" s="9"/>
      <c r="K249" s="9"/>
      <c r="L249" s="9"/>
      <c r="M249" s="9"/>
      <c r="N249" s="13"/>
    </row>
    <row r="250" spans="1:14" ht="28.5" outlineLevel="1">
      <c r="A250" s="75"/>
      <c r="B250" s="91" t="s">
        <v>695</v>
      </c>
      <c r="C250" s="25" t="s">
        <v>314</v>
      </c>
      <c r="D250" s="33"/>
      <c r="E250" s="81">
        <v>1</v>
      </c>
      <c r="F250" s="80">
        <f t="shared" si="16"/>
        <v>0</v>
      </c>
      <c r="G250" s="15">
        <f t="shared" si="17"/>
        <v>775</v>
      </c>
      <c r="H250" s="21">
        <v>0</v>
      </c>
      <c r="I250" s="21">
        <v>775</v>
      </c>
      <c r="J250" s="9"/>
      <c r="K250" s="9"/>
      <c r="L250" s="9"/>
      <c r="M250" s="9"/>
      <c r="N250" s="13"/>
    </row>
    <row r="251" spans="1:14" ht="15.75" outlineLevel="1">
      <c r="A251" s="75"/>
      <c r="B251" s="91" t="s">
        <v>696</v>
      </c>
      <c r="C251" s="25" t="s">
        <v>314</v>
      </c>
      <c r="D251" s="33"/>
      <c r="E251" s="81">
        <v>1</v>
      </c>
      <c r="F251" s="80">
        <f t="shared" si="16"/>
        <v>0</v>
      </c>
      <c r="G251" s="15">
        <f t="shared" si="17"/>
        <v>151.11049</v>
      </c>
      <c r="H251" s="21">
        <v>0</v>
      </c>
      <c r="I251" s="21">
        <v>151.11049</v>
      </c>
      <c r="J251" s="9"/>
      <c r="K251" s="9"/>
      <c r="L251" s="9"/>
      <c r="M251" s="9"/>
      <c r="N251" s="13"/>
    </row>
    <row r="252" spans="1:14" ht="31.5" outlineLevel="1">
      <c r="A252" s="75" t="s">
        <v>623</v>
      </c>
      <c r="B252" s="56" t="s">
        <v>266</v>
      </c>
      <c r="C252" s="25" t="s">
        <v>316</v>
      </c>
      <c r="D252" s="33">
        <v>1</v>
      </c>
      <c r="E252" s="81">
        <v>1</v>
      </c>
      <c r="F252" s="80">
        <f aca="true" t="shared" si="18" ref="F252:F315">H252+J252+L252</f>
        <v>2968.63</v>
      </c>
      <c r="G252" s="15">
        <f t="shared" si="17"/>
        <v>2968.63</v>
      </c>
      <c r="H252" s="21">
        <v>2968.63</v>
      </c>
      <c r="I252" s="21">
        <v>2968.63</v>
      </c>
      <c r="J252" s="9"/>
      <c r="K252" s="9"/>
      <c r="L252" s="9"/>
      <c r="M252" s="9"/>
      <c r="N252" s="13"/>
    </row>
    <row r="253" spans="1:14" ht="15.75" outlineLevel="1">
      <c r="A253" s="75" t="s">
        <v>624</v>
      </c>
      <c r="B253" s="56" t="s">
        <v>267</v>
      </c>
      <c r="C253" s="25" t="s">
        <v>316</v>
      </c>
      <c r="D253" s="33">
        <v>1</v>
      </c>
      <c r="E253" s="81">
        <v>1</v>
      </c>
      <c r="F253" s="80">
        <f t="shared" si="18"/>
        <v>3051.02</v>
      </c>
      <c r="G253" s="15">
        <f aca="true" t="shared" si="19" ref="G253:G298">I253+K253+M253</f>
        <v>3051.02</v>
      </c>
      <c r="H253" s="21">
        <v>3051.02</v>
      </c>
      <c r="I253" s="21">
        <v>3051.02</v>
      </c>
      <c r="J253" s="9"/>
      <c r="K253" s="9"/>
      <c r="L253" s="9"/>
      <c r="M253" s="9"/>
      <c r="N253" s="13"/>
    </row>
    <row r="254" spans="1:14" ht="31.5" outlineLevel="1">
      <c r="A254" s="75" t="s">
        <v>625</v>
      </c>
      <c r="B254" s="56" t="s">
        <v>268</v>
      </c>
      <c r="C254" s="25" t="s">
        <v>316</v>
      </c>
      <c r="D254" s="33">
        <v>1</v>
      </c>
      <c r="E254" s="81">
        <v>1</v>
      </c>
      <c r="F254" s="80">
        <f t="shared" si="18"/>
        <v>676.77</v>
      </c>
      <c r="G254" s="15">
        <f t="shared" si="19"/>
        <v>676.77</v>
      </c>
      <c r="H254" s="21">
        <v>676.77</v>
      </c>
      <c r="I254" s="21">
        <v>676.77</v>
      </c>
      <c r="J254" s="9"/>
      <c r="K254" s="9"/>
      <c r="L254" s="9"/>
      <c r="M254" s="9"/>
      <c r="N254" s="13"/>
    </row>
    <row r="255" spans="1:14" ht="15.75" outlineLevel="1">
      <c r="A255" s="75" t="s">
        <v>626</v>
      </c>
      <c r="B255" s="56" t="s">
        <v>269</v>
      </c>
      <c r="C255" s="25" t="s">
        <v>316</v>
      </c>
      <c r="D255" s="33">
        <v>1</v>
      </c>
      <c r="E255" s="81">
        <v>1</v>
      </c>
      <c r="F255" s="80">
        <f t="shared" si="18"/>
        <v>16497.77</v>
      </c>
      <c r="G255" s="15">
        <f t="shared" si="19"/>
        <v>16497.77</v>
      </c>
      <c r="H255" s="21">
        <v>16497.77</v>
      </c>
      <c r="I255" s="21">
        <v>16497.77</v>
      </c>
      <c r="J255" s="9"/>
      <c r="K255" s="9"/>
      <c r="L255" s="9"/>
      <c r="M255" s="9"/>
      <c r="N255" s="13"/>
    </row>
    <row r="256" spans="1:14" ht="15.75" outlineLevel="1">
      <c r="A256" s="75" t="s">
        <v>627</v>
      </c>
      <c r="B256" s="56" t="s">
        <v>270</v>
      </c>
      <c r="C256" s="25" t="s">
        <v>316</v>
      </c>
      <c r="D256" s="33">
        <v>1</v>
      </c>
      <c r="E256" s="81">
        <v>1</v>
      </c>
      <c r="F256" s="80">
        <f t="shared" si="18"/>
        <v>13342.33</v>
      </c>
      <c r="G256" s="15">
        <f t="shared" si="19"/>
        <v>13342.33</v>
      </c>
      <c r="H256" s="21">
        <v>13342.33</v>
      </c>
      <c r="I256" s="21">
        <v>13342.33</v>
      </c>
      <c r="J256" s="9"/>
      <c r="K256" s="9"/>
      <c r="L256" s="9"/>
      <c r="M256" s="9"/>
      <c r="N256" s="13"/>
    </row>
    <row r="257" spans="1:14" ht="15.75" outlineLevel="1">
      <c r="A257" s="75" t="s">
        <v>628</v>
      </c>
      <c r="B257" s="56" t="s">
        <v>271</v>
      </c>
      <c r="C257" s="25" t="s">
        <v>316</v>
      </c>
      <c r="D257" s="33">
        <v>1</v>
      </c>
      <c r="E257" s="81">
        <v>1</v>
      </c>
      <c r="F257" s="80">
        <f t="shared" si="18"/>
        <v>4642.2</v>
      </c>
      <c r="G257" s="15">
        <f t="shared" si="19"/>
        <v>4642.2</v>
      </c>
      <c r="H257" s="21">
        <v>4642.2</v>
      </c>
      <c r="I257" s="21">
        <v>4642.2</v>
      </c>
      <c r="J257" s="9"/>
      <c r="K257" s="9"/>
      <c r="L257" s="9"/>
      <c r="M257" s="9"/>
      <c r="N257" s="13"/>
    </row>
    <row r="258" spans="1:14" ht="15.75" outlineLevel="1">
      <c r="A258" s="75" t="s">
        <v>629</v>
      </c>
      <c r="B258" s="56" t="s">
        <v>272</v>
      </c>
      <c r="C258" s="25" t="s">
        <v>316</v>
      </c>
      <c r="D258" s="33">
        <v>1</v>
      </c>
      <c r="E258" s="81">
        <v>1</v>
      </c>
      <c r="F258" s="80">
        <f t="shared" si="18"/>
        <v>16428.79</v>
      </c>
      <c r="G258" s="15">
        <f t="shared" si="19"/>
        <v>16428.79</v>
      </c>
      <c r="H258" s="21">
        <v>16428.79</v>
      </c>
      <c r="I258" s="21">
        <v>16428.79</v>
      </c>
      <c r="J258" s="9"/>
      <c r="K258" s="9"/>
      <c r="L258" s="9"/>
      <c r="M258" s="9"/>
      <c r="N258" s="13"/>
    </row>
    <row r="259" spans="1:14" ht="15.75" outlineLevel="1">
      <c r="A259" s="75" t="s">
        <v>630</v>
      </c>
      <c r="B259" s="56" t="s">
        <v>273</v>
      </c>
      <c r="C259" s="25" t="s">
        <v>316</v>
      </c>
      <c r="D259" s="33">
        <v>1</v>
      </c>
      <c r="E259" s="81">
        <v>1</v>
      </c>
      <c r="F259" s="80">
        <f t="shared" si="18"/>
        <v>12282.77</v>
      </c>
      <c r="G259" s="15">
        <f t="shared" si="19"/>
        <v>12282.77</v>
      </c>
      <c r="H259" s="21">
        <v>12282.77</v>
      </c>
      <c r="I259" s="21">
        <v>12282.77</v>
      </c>
      <c r="J259" s="9"/>
      <c r="K259" s="9"/>
      <c r="L259" s="9"/>
      <c r="M259" s="9"/>
      <c r="N259" s="13"/>
    </row>
    <row r="260" spans="1:14" ht="15.75" outlineLevel="1">
      <c r="A260" s="75" t="s">
        <v>631</v>
      </c>
      <c r="B260" s="56" t="s">
        <v>274</v>
      </c>
      <c r="C260" s="25" t="s">
        <v>316</v>
      </c>
      <c r="D260" s="33">
        <v>1</v>
      </c>
      <c r="E260" s="81">
        <v>1</v>
      </c>
      <c r="F260" s="80">
        <f t="shared" si="18"/>
        <v>24743.39</v>
      </c>
      <c r="G260" s="15">
        <f t="shared" si="19"/>
        <v>24743.39</v>
      </c>
      <c r="H260" s="21">
        <v>24743.39</v>
      </c>
      <c r="I260" s="21">
        <v>24743.39</v>
      </c>
      <c r="J260" s="9"/>
      <c r="K260" s="9"/>
      <c r="L260" s="9"/>
      <c r="M260" s="9"/>
      <c r="N260" s="13"/>
    </row>
    <row r="261" spans="1:14" ht="31.5" outlineLevel="1">
      <c r="A261" s="75" t="s">
        <v>632</v>
      </c>
      <c r="B261" s="56" t="s">
        <v>275</v>
      </c>
      <c r="C261" s="25" t="s">
        <v>316</v>
      </c>
      <c r="D261" s="33">
        <v>1</v>
      </c>
      <c r="E261" s="81">
        <v>1</v>
      </c>
      <c r="F261" s="80">
        <f t="shared" si="18"/>
        <v>4608.37</v>
      </c>
      <c r="G261" s="15">
        <f t="shared" si="19"/>
        <v>4608.37</v>
      </c>
      <c r="H261" s="21">
        <v>4608.37</v>
      </c>
      <c r="I261" s="21">
        <v>4608.37</v>
      </c>
      <c r="J261" s="9"/>
      <c r="K261" s="9"/>
      <c r="L261" s="9"/>
      <c r="M261" s="9"/>
      <c r="N261" s="13"/>
    </row>
    <row r="262" spans="1:14" ht="31.5" outlineLevel="1">
      <c r="A262" s="75" t="s">
        <v>633</v>
      </c>
      <c r="B262" s="56" t="s">
        <v>276</v>
      </c>
      <c r="C262" s="25" t="s">
        <v>316</v>
      </c>
      <c r="D262" s="33">
        <v>1</v>
      </c>
      <c r="E262" s="81">
        <v>1</v>
      </c>
      <c r="F262" s="80">
        <f t="shared" si="18"/>
        <v>1667.69</v>
      </c>
      <c r="G262" s="15">
        <f t="shared" si="19"/>
        <v>1667.69</v>
      </c>
      <c r="H262" s="21">
        <v>1667.69</v>
      </c>
      <c r="I262" s="21">
        <v>1667.69</v>
      </c>
      <c r="J262" s="9"/>
      <c r="K262" s="9"/>
      <c r="L262" s="9"/>
      <c r="M262" s="9"/>
      <c r="N262" s="13"/>
    </row>
    <row r="263" spans="1:14" ht="31.5" outlineLevel="1">
      <c r="A263" s="75" t="s">
        <v>634</v>
      </c>
      <c r="B263" s="56" t="s">
        <v>277</v>
      </c>
      <c r="C263" s="25" t="s">
        <v>316</v>
      </c>
      <c r="D263" s="33">
        <v>1</v>
      </c>
      <c r="E263" s="81">
        <v>1</v>
      </c>
      <c r="F263" s="80">
        <f t="shared" si="18"/>
        <v>6583.02</v>
      </c>
      <c r="G263" s="15">
        <f t="shared" si="19"/>
        <v>6583.02</v>
      </c>
      <c r="H263" s="21">
        <v>6583.02</v>
      </c>
      <c r="I263" s="21">
        <v>6583.02</v>
      </c>
      <c r="J263" s="9"/>
      <c r="K263" s="9"/>
      <c r="L263" s="9"/>
      <c r="M263" s="9"/>
      <c r="N263" s="13"/>
    </row>
    <row r="264" spans="1:14" ht="15.75" outlineLevel="1">
      <c r="A264" s="75" t="s">
        <v>635</v>
      </c>
      <c r="B264" s="56" t="s">
        <v>278</v>
      </c>
      <c r="C264" s="25" t="s">
        <v>316</v>
      </c>
      <c r="D264" s="33">
        <v>1</v>
      </c>
      <c r="E264" s="81">
        <v>1</v>
      </c>
      <c r="F264" s="80">
        <f t="shared" si="18"/>
        <v>14220.88</v>
      </c>
      <c r="G264" s="15">
        <f t="shared" si="19"/>
        <v>14220.88</v>
      </c>
      <c r="H264" s="21">
        <v>14220.88</v>
      </c>
      <c r="I264" s="21">
        <v>14220.88</v>
      </c>
      <c r="J264" s="9"/>
      <c r="K264" s="9"/>
      <c r="L264" s="9"/>
      <c r="M264" s="9"/>
      <c r="N264" s="13"/>
    </row>
    <row r="265" spans="1:14" ht="15.75" outlineLevel="1">
      <c r="A265" s="75" t="s">
        <v>636</v>
      </c>
      <c r="B265" s="56" t="s">
        <v>279</v>
      </c>
      <c r="C265" s="25" t="s">
        <v>316</v>
      </c>
      <c r="D265" s="33">
        <v>1</v>
      </c>
      <c r="E265" s="81">
        <v>1</v>
      </c>
      <c r="F265" s="80">
        <f t="shared" si="18"/>
        <v>2015.91</v>
      </c>
      <c r="G265" s="15">
        <f t="shared" si="19"/>
        <v>2015.91</v>
      </c>
      <c r="H265" s="21">
        <v>2015.91</v>
      </c>
      <c r="I265" s="21">
        <v>2015.91</v>
      </c>
      <c r="J265" s="9"/>
      <c r="K265" s="9"/>
      <c r="L265" s="9"/>
      <c r="M265" s="9"/>
      <c r="N265" s="13"/>
    </row>
    <row r="266" spans="1:14" ht="15.75" outlineLevel="1">
      <c r="A266" s="75" t="s">
        <v>637</v>
      </c>
      <c r="B266" s="56" t="s">
        <v>280</v>
      </c>
      <c r="C266" s="25" t="s">
        <v>316</v>
      </c>
      <c r="D266" s="33">
        <v>1</v>
      </c>
      <c r="E266" s="81">
        <v>1</v>
      </c>
      <c r="F266" s="80">
        <f t="shared" si="18"/>
        <v>1940.87</v>
      </c>
      <c r="G266" s="15">
        <f t="shared" si="19"/>
        <v>1940.87</v>
      </c>
      <c r="H266" s="21">
        <v>1940.87</v>
      </c>
      <c r="I266" s="21">
        <v>1940.87</v>
      </c>
      <c r="J266" s="9"/>
      <c r="K266" s="9"/>
      <c r="L266" s="9"/>
      <c r="M266" s="9"/>
      <c r="N266" s="13"/>
    </row>
    <row r="267" spans="1:14" ht="15.75" outlineLevel="1">
      <c r="A267" s="75" t="s">
        <v>638</v>
      </c>
      <c r="B267" s="56" t="s">
        <v>281</v>
      </c>
      <c r="C267" s="25" t="s">
        <v>316</v>
      </c>
      <c r="D267" s="33">
        <v>1</v>
      </c>
      <c r="E267" s="81">
        <v>1</v>
      </c>
      <c r="F267" s="80">
        <f t="shared" si="18"/>
        <v>13001.64</v>
      </c>
      <c r="G267" s="15">
        <f t="shared" si="19"/>
        <v>13001.64</v>
      </c>
      <c r="H267" s="21">
        <v>13001.64</v>
      </c>
      <c r="I267" s="21">
        <v>13001.64</v>
      </c>
      <c r="J267" s="9"/>
      <c r="K267" s="9"/>
      <c r="L267" s="9"/>
      <c r="M267" s="9"/>
      <c r="N267" s="13"/>
    </row>
    <row r="268" spans="1:14" ht="15.75" outlineLevel="1">
      <c r="A268" s="75" t="s">
        <v>639</v>
      </c>
      <c r="B268" s="56" t="s">
        <v>282</v>
      </c>
      <c r="C268" s="25" t="s">
        <v>316</v>
      </c>
      <c r="D268" s="33">
        <v>1</v>
      </c>
      <c r="E268" s="81">
        <v>1</v>
      </c>
      <c r="F268" s="80">
        <f t="shared" si="18"/>
        <v>11262.88</v>
      </c>
      <c r="G268" s="15">
        <f t="shared" si="19"/>
        <v>11262.88</v>
      </c>
      <c r="H268" s="21">
        <v>11262.88</v>
      </c>
      <c r="I268" s="21">
        <v>11262.88</v>
      </c>
      <c r="J268" s="9"/>
      <c r="K268" s="9"/>
      <c r="L268" s="9"/>
      <c r="M268" s="9"/>
      <c r="N268" s="13"/>
    </row>
    <row r="269" spans="1:14" ht="15.75" outlineLevel="1">
      <c r="A269" s="75" t="s">
        <v>640</v>
      </c>
      <c r="B269" s="56" t="s">
        <v>283</v>
      </c>
      <c r="C269" s="25" t="s">
        <v>316</v>
      </c>
      <c r="D269" s="33">
        <v>1</v>
      </c>
      <c r="E269" s="81">
        <v>1</v>
      </c>
      <c r="F269" s="80">
        <f t="shared" si="18"/>
        <v>10348.12</v>
      </c>
      <c r="G269" s="15">
        <f t="shared" si="19"/>
        <v>10348.12</v>
      </c>
      <c r="H269" s="21">
        <v>10348.12</v>
      </c>
      <c r="I269" s="21">
        <v>10348.12</v>
      </c>
      <c r="J269" s="9"/>
      <c r="K269" s="9"/>
      <c r="L269" s="9"/>
      <c r="M269" s="9"/>
      <c r="N269" s="13"/>
    </row>
    <row r="270" spans="1:14" ht="15.75" outlineLevel="1">
      <c r="A270" s="75" t="s">
        <v>641</v>
      </c>
      <c r="B270" s="56" t="s">
        <v>284</v>
      </c>
      <c r="C270" s="25" t="s">
        <v>316</v>
      </c>
      <c r="D270" s="33">
        <v>1</v>
      </c>
      <c r="E270" s="81">
        <v>1</v>
      </c>
      <c r="F270" s="80">
        <f t="shared" si="18"/>
        <v>8641.42</v>
      </c>
      <c r="G270" s="15">
        <f t="shared" si="19"/>
        <v>8641.42</v>
      </c>
      <c r="H270" s="21">
        <v>8641.42</v>
      </c>
      <c r="I270" s="21">
        <v>8641.42</v>
      </c>
      <c r="J270" s="9"/>
      <c r="K270" s="9"/>
      <c r="L270" s="9"/>
      <c r="M270" s="9"/>
      <c r="N270" s="13"/>
    </row>
    <row r="271" spans="1:14" ht="15.75" outlineLevel="1">
      <c r="A271" s="75" t="s">
        <v>642</v>
      </c>
      <c r="B271" s="56" t="s">
        <v>285</v>
      </c>
      <c r="C271" s="25" t="s">
        <v>316</v>
      </c>
      <c r="D271" s="33">
        <v>1</v>
      </c>
      <c r="E271" s="81">
        <v>1</v>
      </c>
      <c r="F271" s="80">
        <f t="shared" si="18"/>
        <v>5490.59</v>
      </c>
      <c r="G271" s="15">
        <f t="shared" si="19"/>
        <v>5490.59</v>
      </c>
      <c r="H271" s="21">
        <v>5490.59</v>
      </c>
      <c r="I271" s="21">
        <v>5490.59</v>
      </c>
      <c r="J271" s="9"/>
      <c r="K271" s="9"/>
      <c r="L271" s="9"/>
      <c r="M271" s="9"/>
      <c r="N271" s="13"/>
    </row>
    <row r="272" spans="1:14" ht="15.75" outlineLevel="1">
      <c r="A272" s="75" t="s">
        <v>643</v>
      </c>
      <c r="B272" s="56" t="s">
        <v>286</v>
      </c>
      <c r="C272" s="25" t="s">
        <v>316</v>
      </c>
      <c r="D272" s="33">
        <v>1</v>
      </c>
      <c r="E272" s="81">
        <v>1</v>
      </c>
      <c r="F272" s="80">
        <f t="shared" si="18"/>
        <v>4811.96</v>
      </c>
      <c r="G272" s="15">
        <f t="shared" si="19"/>
        <v>4811.96</v>
      </c>
      <c r="H272" s="21">
        <v>4811.96</v>
      </c>
      <c r="I272" s="21">
        <v>4811.96</v>
      </c>
      <c r="J272" s="9"/>
      <c r="K272" s="9"/>
      <c r="L272" s="9"/>
      <c r="M272" s="9"/>
      <c r="N272" s="13"/>
    </row>
    <row r="273" spans="1:14" ht="15.75" outlineLevel="1">
      <c r="A273" s="75" t="s">
        <v>644</v>
      </c>
      <c r="B273" s="56" t="s">
        <v>287</v>
      </c>
      <c r="C273" s="25" t="s">
        <v>316</v>
      </c>
      <c r="D273" s="33">
        <v>1</v>
      </c>
      <c r="E273" s="81">
        <v>1</v>
      </c>
      <c r="F273" s="80">
        <f t="shared" si="18"/>
        <v>7060.88</v>
      </c>
      <c r="G273" s="15">
        <f t="shared" si="19"/>
        <v>7060.88</v>
      </c>
      <c r="H273" s="21">
        <v>7060.88</v>
      </c>
      <c r="I273" s="21">
        <v>7060.88</v>
      </c>
      <c r="J273" s="9"/>
      <c r="K273" s="9"/>
      <c r="L273" s="9"/>
      <c r="M273" s="9"/>
      <c r="N273" s="13"/>
    </row>
    <row r="274" spans="1:14" ht="15.75" outlineLevel="1">
      <c r="A274" s="75" t="s">
        <v>645</v>
      </c>
      <c r="B274" s="56" t="s">
        <v>288</v>
      </c>
      <c r="C274" s="25" t="s">
        <v>316</v>
      </c>
      <c r="D274" s="33">
        <v>1</v>
      </c>
      <c r="E274" s="81">
        <v>1</v>
      </c>
      <c r="F274" s="80">
        <f t="shared" si="18"/>
        <v>8655.16</v>
      </c>
      <c r="G274" s="15">
        <f t="shared" si="19"/>
        <v>8655.16</v>
      </c>
      <c r="H274" s="21">
        <v>8655.16</v>
      </c>
      <c r="I274" s="21">
        <v>8655.16</v>
      </c>
      <c r="J274" s="9"/>
      <c r="K274" s="9"/>
      <c r="L274" s="9"/>
      <c r="M274" s="9"/>
      <c r="N274" s="13"/>
    </row>
    <row r="275" spans="1:14" ht="15.75" outlineLevel="1">
      <c r="A275" s="75" t="s">
        <v>646</v>
      </c>
      <c r="B275" s="56" t="s">
        <v>289</v>
      </c>
      <c r="C275" s="25" t="s">
        <v>316</v>
      </c>
      <c r="D275" s="33">
        <v>1</v>
      </c>
      <c r="E275" s="81">
        <v>1</v>
      </c>
      <c r="F275" s="80">
        <f t="shared" si="18"/>
        <v>13375.85</v>
      </c>
      <c r="G275" s="15">
        <f t="shared" si="19"/>
        <v>13375.85</v>
      </c>
      <c r="H275" s="21">
        <v>13375.85</v>
      </c>
      <c r="I275" s="21">
        <v>13375.85</v>
      </c>
      <c r="J275" s="9"/>
      <c r="K275" s="9"/>
      <c r="L275" s="9"/>
      <c r="M275" s="9"/>
      <c r="N275" s="13"/>
    </row>
    <row r="276" spans="1:14" ht="15.75" outlineLevel="1">
      <c r="A276" s="75" t="s">
        <v>647</v>
      </c>
      <c r="B276" s="56" t="s">
        <v>290</v>
      </c>
      <c r="C276" s="25" t="s">
        <v>316</v>
      </c>
      <c r="D276" s="33">
        <v>1</v>
      </c>
      <c r="E276" s="81">
        <v>1</v>
      </c>
      <c r="F276" s="80">
        <f t="shared" si="18"/>
        <v>9985.5</v>
      </c>
      <c r="G276" s="15">
        <f t="shared" si="19"/>
        <v>9985.5</v>
      </c>
      <c r="H276" s="21">
        <v>9985.5</v>
      </c>
      <c r="I276" s="21">
        <v>9985.5</v>
      </c>
      <c r="J276" s="9"/>
      <c r="K276" s="9"/>
      <c r="L276" s="9"/>
      <c r="M276" s="9"/>
      <c r="N276" s="13"/>
    </row>
    <row r="277" spans="1:14" ht="15.75" outlineLevel="1">
      <c r="A277" s="75" t="s">
        <v>648</v>
      </c>
      <c r="B277" s="56" t="s">
        <v>291</v>
      </c>
      <c r="C277" s="25" t="s">
        <v>316</v>
      </c>
      <c r="D277" s="33">
        <v>1</v>
      </c>
      <c r="E277" s="81">
        <v>1</v>
      </c>
      <c r="F277" s="80">
        <f t="shared" si="18"/>
        <v>7622.69</v>
      </c>
      <c r="G277" s="15">
        <f t="shared" si="19"/>
        <v>7622.69</v>
      </c>
      <c r="H277" s="21">
        <v>7622.69</v>
      </c>
      <c r="I277" s="21">
        <v>7622.69</v>
      </c>
      <c r="J277" s="9"/>
      <c r="K277" s="9"/>
      <c r="L277" s="9"/>
      <c r="M277" s="9"/>
      <c r="N277" s="13"/>
    </row>
    <row r="278" spans="1:14" ht="15.75" outlineLevel="1">
      <c r="A278" s="75" t="s">
        <v>649</v>
      </c>
      <c r="B278" s="56" t="s">
        <v>292</v>
      </c>
      <c r="C278" s="25" t="s">
        <v>316</v>
      </c>
      <c r="D278" s="33">
        <v>1</v>
      </c>
      <c r="E278" s="81">
        <v>1</v>
      </c>
      <c r="F278" s="80">
        <f t="shared" si="18"/>
        <v>6895.31</v>
      </c>
      <c r="G278" s="15">
        <f t="shared" si="19"/>
        <v>6895.31</v>
      </c>
      <c r="H278" s="21">
        <v>6895.31</v>
      </c>
      <c r="I278" s="21">
        <v>6895.31</v>
      </c>
      <c r="J278" s="9"/>
      <c r="K278" s="9"/>
      <c r="L278" s="9"/>
      <c r="M278" s="9"/>
      <c r="N278" s="13"/>
    </row>
    <row r="279" spans="1:14" ht="15.75" outlineLevel="1">
      <c r="A279" s="75" t="s">
        <v>650</v>
      </c>
      <c r="B279" s="56" t="s">
        <v>293</v>
      </c>
      <c r="C279" s="25" t="s">
        <v>316</v>
      </c>
      <c r="D279" s="33">
        <v>1</v>
      </c>
      <c r="E279" s="81">
        <v>1</v>
      </c>
      <c r="F279" s="80">
        <f t="shared" si="18"/>
        <v>5344.99</v>
      </c>
      <c r="G279" s="15">
        <f t="shared" si="19"/>
        <v>5344.99</v>
      </c>
      <c r="H279" s="21">
        <v>5344.99</v>
      </c>
      <c r="I279" s="21">
        <v>5344.99</v>
      </c>
      <c r="J279" s="9"/>
      <c r="K279" s="9"/>
      <c r="L279" s="9"/>
      <c r="M279" s="9"/>
      <c r="N279" s="13"/>
    </row>
    <row r="280" spans="1:14" ht="15.75" outlineLevel="1">
      <c r="A280" s="75" t="s">
        <v>651</v>
      </c>
      <c r="B280" s="56" t="s">
        <v>294</v>
      </c>
      <c r="C280" s="25" t="s">
        <v>316</v>
      </c>
      <c r="D280" s="33">
        <v>1</v>
      </c>
      <c r="E280" s="81">
        <v>1</v>
      </c>
      <c r="F280" s="80">
        <f t="shared" si="18"/>
        <v>7104.48</v>
      </c>
      <c r="G280" s="15">
        <f t="shared" si="19"/>
        <v>7104.48</v>
      </c>
      <c r="H280" s="21">
        <v>7104.48</v>
      </c>
      <c r="I280" s="21">
        <v>7104.48</v>
      </c>
      <c r="J280" s="9"/>
      <c r="K280" s="9"/>
      <c r="L280" s="9"/>
      <c r="M280" s="9"/>
      <c r="N280" s="13"/>
    </row>
    <row r="281" spans="1:14" ht="15.75" outlineLevel="1">
      <c r="A281" s="75" t="s">
        <v>652</v>
      </c>
      <c r="B281" s="56" t="s">
        <v>295</v>
      </c>
      <c r="C281" s="25" t="s">
        <v>316</v>
      </c>
      <c r="D281" s="33">
        <v>1</v>
      </c>
      <c r="E281" s="81">
        <v>1</v>
      </c>
      <c r="F281" s="80">
        <f t="shared" si="18"/>
        <v>5711.88</v>
      </c>
      <c r="G281" s="15">
        <f t="shared" si="19"/>
        <v>5711.88</v>
      </c>
      <c r="H281" s="21">
        <v>5711.88</v>
      </c>
      <c r="I281" s="21">
        <v>5711.88</v>
      </c>
      <c r="J281" s="9"/>
      <c r="K281" s="9"/>
      <c r="L281" s="9"/>
      <c r="M281" s="9"/>
      <c r="N281" s="13"/>
    </row>
    <row r="282" spans="1:14" ht="15.75" outlineLevel="1">
      <c r="A282" s="75" t="s">
        <v>653</v>
      </c>
      <c r="B282" s="56" t="s">
        <v>296</v>
      </c>
      <c r="C282" s="25" t="s">
        <v>316</v>
      </c>
      <c r="D282" s="33">
        <v>1</v>
      </c>
      <c r="E282" s="81">
        <v>1</v>
      </c>
      <c r="F282" s="80">
        <f t="shared" si="18"/>
        <v>7002.46</v>
      </c>
      <c r="G282" s="15">
        <f t="shared" si="19"/>
        <v>7002.46</v>
      </c>
      <c r="H282" s="21">
        <v>7002.46</v>
      </c>
      <c r="I282" s="21">
        <v>7002.46</v>
      </c>
      <c r="J282" s="9"/>
      <c r="K282" s="9"/>
      <c r="L282" s="9"/>
      <c r="M282" s="9"/>
      <c r="N282" s="13"/>
    </row>
    <row r="283" spans="1:14" ht="15.75" outlineLevel="1">
      <c r="A283" s="75" t="s">
        <v>654</v>
      </c>
      <c r="B283" s="56" t="s">
        <v>297</v>
      </c>
      <c r="C283" s="25" t="s">
        <v>316</v>
      </c>
      <c r="D283" s="33">
        <v>1</v>
      </c>
      <c r="E283" s="81">
        <v>1</v>
      </c>
      <c r="F283" s="80">
        <f t="shared" si="18"/>
        <v>7077.18</v>
      </c>
      <c r="G283" s="15">
        <f t="shared" si="19"/>
        <v>7077.18</v>
      </c>
      <c r="H283" s="21">
        <v>7077.18</v>
      </c>
      <c r="I283" s="21">
        <v>7077.18</v>
      </c>
      <c r="J283" s="9"/>
      <c r="K283" s="9"/>
      <c r="L283" s="9"/>
      <c r="M283" s="9"/>
      <c r="N283" s="13"/>
    </row>
    <row r="284" spans="1:14" ht="31.5" outlineLevel="1">
      <c r="A284" s="75" t="s">
        <v>655</v>
      </c>
      <c r="B284" s="56" t="s">
        <v>298</v>
      </c>
      <c r="C284" s="25" t="s">
        <v>316</v>
      </c>
      <c r="D284" s="33">
        <v>1</v>
      </c>
      <c r="E284" s="81">
        <v>1</v>
      </c>
      <c r="F284" s="80">
        <f t="shared" si="18"/>
        <v>6506.19</v>
      </c>
      <c r="G284" s="15">
        <f t="shared" si="19"/>
        <v>6506.19</v>
      </c>
      <c r="H284" s="21">
        <v>6506.19</v>
      </c>
      <c r="I284" s="21">
        <v>6506.19</v>
      </c>
      <c r="J284" s="9"/>
      <c r="K284" s="9"/>
      <c r="L284" s="9"/>
      <c r="M284" s="9"/>
      <c r="N284" s="13"/>
    </row>
    <row r="285" spans="1:14" ht="31.5" outlineLevel="1">
      <c r="A285" s="75" t="s">
        <v>656</v>
      </c>
      <c r="B285" s="56" t="s">
        <v>299</v>
      </c>
      <c r="C285" s="25" t="s">
        <v>316</v>
      </c>
      <c r="D285" s="33">
        <v>1</v>
      </c>
      <c r="E285" s="81">
        <v>1</v>
      </c>
      <c r="F285" s="80">
        <f t="shared" si="18"/>
        <v>5513.21</v>
      </c>
      <c r="G285" s="15">
        <f t="shared" si="19"/>
        <v>5513.21</v>
      </c>
      <c r="H285" s="21">
        <v>5513.21</v>
      </c>
      <c r="I285" s="21">
        <v>5513.21</v>
      </c>
      <c r="J285" s="9"/>
      <c r="K285" s="9"/>
      <c r="L285" s="9"/>
      <c r="M285" s="9"/>
      <c r="N285" s="13"/>
    </row>
    <row r="286" spans="1:14" ht="31.5" outlineLevel="1">
      <c r="A286" s="75" t="s">
        <v>657</v>
      </c>
      <c r="B286" s="56" t="s">
        <v>300</v>
      </c>
      <c r="C286" s="25" t="s">
        <v>316</v>
      </c>
      <c r="D286" s="33">
        <v>1</v>
      </c>
      <c r="E286" s="81">
        <v>1</v>
      </c>
      <c r="F286" s="80">
        <f t="shared" si="18"/>
        <v>894.85</v>
      </c>
      <c r="G286" s="15">
        <f t="shared" si="19"/>
        <v>894.85</v>
      </c>
      <c r="H286" s="21">
        <v>894.85</v>
      </c>
      <c r="I286" s="21">
        <v>894.85</v>
      </c>
      <c r="J286" s="9"/>
      <c r="K286" s="9"/>
      <c r="L286" s="9"/>
      <c r="M286" s="9"/>
      <c r="N286" s="13"/>
    </row>
    <row r="287" spans="1:14" ht="47.25" outlineLevel="1">
      <c r="A287" s="75" t="s">
        <v>658</v>
      </c>
      <c r="B287" s="56" t="s">
        <v>301</v>
      </c>
      <c r="C287" s="25" t="s">
        <v>316</v>
      </c>
      <c r="D287" s="33">
        <v>1</v>
      </c>
      <c r="E287" s="81">
        <v>1</v>
      </c>
      <c r="F287" s="80">
        <f t="shared" si="18"/>
        <v>5128.19</v>
      </c>
      <c r="G287" s="15">
        <f t="shared" si="19"/>
        <v>5128.19</v>
      </c>
      <c r="H287" s="21">
        <v>5128.19</v>
      </c>
      <c r="I287" s="21">
        <v>5128.19</v>
      </c>
      <c r="J287" s="9"/>
      <c r="K287" s="9"/>
      <c r="L287" s="9"/>
      <c r="M287" s="9"/>
      <c r="N287" s="13"/>
    </row>
    <row r="288" spans="1:14" ht="15.75" outlineLevel="1">
      <c r="A288" s="75" t="s">
        <v>659</v>
      </c>
      <c r="B288" s="56" t="s">
        <v>302</v>
      </c>
      <c r="C288" s="25" t="s">
        <v>316</v>
      </c>
      <c r="D288" s="33">
        <v>1</v>
      </c>
      <c r="E288" s="81">
        <v>1</v>
      </c>
      <c r="F288" s="80">
        <f t="shared" si="18"/>
        <v>4223.16</v>
      </c>
      <c r="G288" s="15">
        <f t="shared" si="19"/>
        <v>4223.16</v>
      </c>
      <c r="H288" s="21">
        <v>4223.16</v>
      </c>
      <c r="I288" s="21">
        <v>4223.16</v>
      </c>
      <c r="J288" s="9"/>
      <c r="K288" s="9"/>
      <c r="L288" s="9"/>
      <c r="M288" s="9"/>
      <c r="N288" s="13"/>
    </row>
    <row r="289" spans="1:14" ht="31.5" outlineLevel="1">
      <c r="A289" s="75" t="s">
        <v>660</v>
      </c>
      <c r="B289" s="56" t="s">
        <v>303</v>
      </c>
      <c r="C289" s="25" t="s">
        <v>316</v>
      </c>
      <c r="D289" s="33">
        <v>1</v>
      </c>
      <c r="E289" s="81">
        <v>1</v>
      </c>
      <c r="F289" s="80">
        <f t="shared" si="18"/>
        <v>3139.7</v>
      </c>
      <c r="G289" s="15">
        <f t="shared" si="19"/>
        <v>3139.7</v>
      </c>
      <c r="H289" s="21">
        <v>3139.7</v>
      </c>
      <c r="I289" s="21">
        <v>3139.7</v>
      </c>
      <c r="J289" s="9"/>
      <c r="K289" s="9"/>
      <c r="L289" s="9"/>
      <c r="M289" s="9"/>
      <c r="N289" s="13"/>
    </row>
    <row r="290" spans="1:14" ht="31.5" outlineLevel="1">
      <c r="A290" s="75" t="s">
        <v>661</v>
      </c>
      <c r="B290" s="56" t="s">
        <v>304</v>
      </c>
      <c r="C290" s="25" t="s">
        <v>316</v>
      </c>
      <c r="D290" s="33">
        <v>1</v>
      </c>
      <c r="E290" s="81">
        <v>1</v>
      </c>
      <c r="F290" s="80">
        <f t="shared" si="18"/>
        <v>3083.88</v>
      </c>
      <c r="G290" s="15">
        <f t="shared" si="19"/>
        <v>3083.88</v>
      </c>
      <c r="H290" s="21">
        <v>3083.88</v>
      </c>
      <c r="I290" s="21">
        <v>3083.88</v>
      </c>
      <c r="J290" s="9"/>
      <c r="K290" s="9"/>
      <c r="L290" s="9"/>
      <c r="M290" s="9"/>
      <c r="N290" s="13"/>
    </row>
    <row r="291" spans="1:14" ht="31.5" outlineLevel="1">
      <c r="A291" s="75" t="s">
        <v>662</v>
      </c>
      <c r="B291" s="56" t="s">
        <v>305</v>
      </c>
      <c r="C291" s="25" t="s">
        <v>316</v>
      </c>
      <c r="D291" s="33">
        <v>1</v>
      </c>
      <c r="E291" s="81">
        <v>1</v>
      </c>
      <c r="F291" s="80">
        <f t="shared" si="18"/>
        <v>1374.91</v>
      </c>
      <c r="G291" s="15">
        <f t="shared" si="19"/>
        <v>1374.91</v>
      </c>
      <c r="H291" s="21">
        <v>1374.91</v>
      </c>
      <c r="I291" s="21">
        <v>1374.91</v>
      </c>
      <c r="J291" s="9"/>
      <c r="K291" s="9"/>
      <c r="L291" s="9"/>
      <c r="M291" s="9"/>
      <c r="N291" s="13"/>
    </row>
    <row r="292" spans="1:14" ht="31.5" outlineLevel="1">
      <c r="A292" s="75" t="s">
        <v>663</v>
      </c>
      <c r="B292" s="56" t="s">
        <v>306</v>
      </c>
      <c r="C292" s="25" t="s">
        <v>316</v>
      </c>
      <c r="D292" s="33">
        <v>1</v>
      </c>
      <c r="E292" s="81">
        <v>1</v>
      </c>
      <c r="F292" s="80">
        <f t="shared" si="18"/>
        <v>1863.14</v>
      </c>
      <c r="G292" s="15">
        <f t="shared" si="19"/>
        <v>1863.14</v>
      </c>
      <c r="H292" s="21">
        <v>1863.14</v>
      </c>
      <c r="I292" s="21">
        <v>1863.14</v>
      </c>
      <c r="J292" s="9"/>
      <c r="K292" s="9"/>
      <c r="L292" s="9"/>
      <c r="M292" s="9"/>
      <c r="N292" s="13"/>
    </row>
    <row r="293" spans="1:14" ht="15.75" outlineLevel="1">
      <c r="A293" s="75" t="s">
        <v>664</v>
      </c>
      <c r="B293" s="56" t="s">
        <v>307</v>
      </c>
      <c r="C293" s="25" t="s">
        <v>316</v>
      </c>
      <c r="D293" s="33">
        <v>1</v>
      </c>
      <c r="E293" s="81">
        <v>1</v>
      </c>
      <c r="F293" s="80">
        <f t="shared" si="18"/>
        <v>2254.48</v>
      </c>
      <c r="G293" s="15">
        <f t="shared" si="19"/>
        <v>2254.48</v>
      </c>
      <c r="H293" s="21">
        <v>2254.48</v>
      </c>
      <c r="I293" s="21">
        <v>2254.48</v>
      </c>
      <c r="J293" s="9"/>
      <c r="K293" s="9"/>
      <c r="L293" s="9"/>
      <c r="M293" s="9"/>
      <c r="N293" s="13"/>
    </row>
    <row r="294" spans="1:14" ht="15.75" outlineLevel="1">
      <c r="A294" s="75" t="s">
        <v>665</v>
      </c>
      <c r="B294" s="56" t="s">
        <v>308</v>
      </c>
      <c r="C294" s="25" t="s">
        <v>316</v>
      </c>
      <c r="D294" s="33">
        <v>1</v>
      </c>
      <c r="E294" s="81">
        <v>1</v>
      </c>
      <c r="F294" s="80">
        <f t="shared" si="18"/>
        <v>6193.96</v>
      </c>
      <c r="G294" s="15">
        <f t="shared" si="19"/>
        <v>6193.96</v>
      </c>
      <c r="H294" s="21">
        <v>6193.96</v>
      </c>
      <c r="I294" s="21">
        <v>6193.96</v>
      </c>
      <c r="J294" s="9"/>
      <c r="K294" s="9"/>
      <c r="L294" s="9"/>
      <c r="M294" s="9"/>
      <c r="N294" s="13"/>
    </row>
    <row r="295" spans="1:14" ht="31.5" outlineLevel="1">
      <c r="A295" s="75" t="s">
        <v>666</v>
      </c>
      <c r="B295" s="56" t="s">
        <v>309</v>
      </c>
      <c r="C295" s="25" t="s">
        <v>316</v>
      </c>
      <c r="D295" s="33">
        <v>1</v>
      </c>
      <c r="E295" s="81">
        <v>1</v>
      </c>
      <c r="F295" s="80">
        <f t="shared" si="18"/>
        <v>3815</v>
      </c>
      <c r="G295" s="15">
        <f t="shared" si="19"/>
        <v>3815</v>
      </c>
      <c r="H295" s="21">
        <v>3815</v>
      </c>
      <c r="I295" s="21">
        <v>3815</v>
      </c>
      <c r="J295" s="9"/>
      <c r="K295" s="9"/>
      <c r="L295" s="9"/>
      <c r="M295" s="9"/>
      <c r="N295" s="13"/>
    </row>
    <row r="296" spans="1:14" ht="31.5" outlineLevel="1">
      <c r="A296" s="75" t="s">
        <v>667</v>
      </c>
      <c r="B296" s="56" t="s">
        <v>310</v>
      </c>
      <c r="C296" s="25" t="s">
        <v>316</v>
      </c>
      <c r="D296" s="33">
        <v>1</v>
      </c>
      <c r="E296" s="81">
        <v>1</v>
      </c>
      <c r="F296" s="80">
        <f t="shared" si="18"/>
        <v>15310.98</v>
      </c>
      <c r="G296" s="15">
        <f t="shared" si="19"/>
        <v>13338.05</v>
      </c>
      <c r="H296" s="21">
        <v>15310.98</v>
      </c>
      <c r="I296" s="21">
        <f>13338.05</f>
        <v>13338.05</v>
      </c>
      <c r="J296" s="9"/>
      <c r="K296" s="9"/>
      <c r="L296" s="9"/>
      <c r="M296" s="9"/>
      <c r="N296" s="13"/>
    </row>
    <row r="297" spans="1:14" ht="15.75" outlineLevel="1">
      <c r="A297" s="75" t="s">
        <v>668</v>
      </c>
      <c r="B297" s="56" t="s">
        <v>311</v>
      </c>
      <c r="C297" s="25" t="s">
        <v>316</v>
      </c>
      <c r="D297" s="33">
        <v>1</v>
      </c>
      <c r="E297" s="81">
        <v>1</v>
      </c>
      <c r="F297" s="80">
        <f t="shared" si="18"/>
        <v>34121.3</v>
      </c>
      <c r="G297" s="15">
        <f t="shared" si="19"/>
        <v>34121.3</v>
      </c>
      <c r="H297" s="21">
        <v>34121.3</v>
      </c>
      <c r="I297" s="21">
        <v>34121.3</v>
      </c>
      <c r="J297" s="9"/>
      <c r="K297" s="9"/>
      <c r="L297" s="9"/>
      <c r="M297" s="9"/>
      <c r="N297" s="13"/>
    </row>
    <row r="298" spans="1:14" ht="15.75" outlineLevel="1">
      <c r="A298" s="75" t="s">
        <v>669</v>
      </c>
      <c r="B298" s="56" t="s">
        <v>312</v>
      </c>
      <c r="C298" s="25" t="s">
        <v>316</v>
      </c>
      <c r="D298" s="33">
        <v>1</v>
      </c>
      <c r="E298" s="81">
        <v>1</v>
      </c>
      <c r="F298" s="80">
        <f t="shared" si="18"/>
        <v>38445.95</v>
      </c>
      <c r="G298" s="15">
        <f t="shared" si="19"/>
        <v>38445.95</v>
      </c>
      <c r="H298" s="21">
        <v>38445.95</v>
      </c>
      <c r="I298" s="21">
        <v>38445.95</v>
      </c>
      <c r="J298" s="9"/>
      <c r="K298" s="9"/>
      <c r="L298" s="9"/>
      <c r="M298" s="9"/>
      <c r="N298" s="13"/>
    </row>
    <row r="299" spans="1:14" ht="31.5">
      <c r="A299" s="73">
        <v>34</v>
      </c>
      <c r="B299" s="70" t="s">
        <v>4</v>
      </c>
      <c r="C299" s="26" t="s">
        <v>314</v>
      </c>
      <c r="D299" s="23">
        <v>1495</v>
      </c>
      <c r="E299" s="72">
        <v>1330</v>
      </c>
      <c r="F299" s="80">
        <f>H299+J299+L299</f>
        <v>434845.30423999997</v>
      </c>
      <c r="G299" s="15">
        <f>I299+K299+M299</f>
        <v>300625.12034</v>
      </c>
      <c r="H299" s="21">
        <f>SUM(H300:H372)</f>
        <v>434845.30423999997</v>
      </c>
      <c r="I299" s="21">
        <f>232055.57828+68569.54206</f>
        <v>300625.12034</v>
      </c>
      <c r="J299" s="9"/>
      <c r="K299" s="9"/>
      <c r="L299" s="9"/>
      <c r="M299" s="9"/>
      <c r="N299" s="13"/>
    </row>
    <row r="300" spans="1:14" ht="15.75" outlineLevel="1">
      <c r="A300" s="75" t="s">
        <v>355</v>
      </c>
      <c r="B300" s="56" t="s">
        <v>496</v>
      </c>
      <c r="C300" s="25" t="s">
        <v>314</v>
      </c>
      <c r="D300" s="33">
        <v>3</v>
      </c>
      <c r="E300" s="81">
        <v>2</v>
      </c>
      <c r="F300" s="80">
        <f t="shared" si="18"/>
        <v>92218.96875</v>
      </c>
      <c r="G300" s="15">
        <f aca="true" t="shared" si="20" ref="G300:G363">I300+K300+M300</f>
        <v>76000</v>
      </c>
      <c r="H300" s="21">
        <v>92218.96875</v>
      </c>
      <c r="I300" s="21">
        <v>76000</v>
      </c>
      <c r="J300" s="9"/>
      <c r="K300" s="9"/>
      <c r="L300" s="9"/>
      <c r="M300" s="9"/>
      <c r="N300" s="13"/>
    </row>
    <row r="301" spans="1:14" ht="47.25" outlineLevel="1">
      <c r="A301" s="75" t="s">
        <v>356</v>
      </c>
      <c r="B301" s="56" t="s">
        <v>497</v>
      </c>
      <c r="C301" s="25" t="s">
        <v>314</v>
      </c>
      <c r="D301" s="33">
        <v>100</v>
      </c>
      <c r="E301" s="81">
        <v>100</v>
      </c>
      <c r="F301" s="80">
        <f t="shared" si="18"/>
        <v>5329.999999999999</v>
      </c>
      <c r="G301" s="15">
        <f t="shared" si="20"/>
        <v>5329.999999999999</v>
      </c>
      <c r="H301" s="21">
        <v>5329.999999999999</v>
      </c>
      <c r="I301" s="21">
        <v>5329.999999999999</v>
      </c>
      <c r="J301" s="9"/>
      <c r="K301" s="9"/>
      <c r="L301" s="9"/>
      <c r="M301" s="9"/>
      <c r="N301" s="13"/>
    </row>
    <row r="302" spans="1:14" ht="31.5" outlineLevel="1">
      <c r="A302" s="75" t="s">
        <v>357</v>
      </c>
      <c r="B302" s="56" t="s">
        <v>498</v>
      </c>
      <c r="C302" s="25" t="s">
        <v>314</v>
      </c>
      <c r="D302" s="33">
        <v>100</v>
      </c>
      <c r="E302" s="81">
        <v>40</v>
      </c>
      <c r="F302" s="80">
        <f t="shared" si="18"/>
        <v>2177.058</v>
      </c>
      <c r="G302" s="15">
        <f t="shared" si="20"/>
        <v>2120</v>
      </c>
      <c r="H302" s="21">
        <v>2177.058</v>
      </c>
      <c r="I302" s="21">
        <v>2120</v>
      </c>
      <c r="J302" s="9"/>
      <c r="K302" s="9"/>
      <c r="L302" s="9"/>
      <c r="M302" s="9"/>
      <c r="N302" s="13"/>
    </row>
    <row r="303" spans="1:14" ht="31.5" outlineLevel="1">
      <c r="A303" s="75" t="s">
        <v>358</v>
      </c>
      <c r="B303" s="56" t="s">
        <v>499</v>
      </c>
      <c r="C303" s="25" t="s">
        <v>314</v>
      </c>
      <c r="D303" s="33">
        <v>46</v>
      </c>
      <c r="E303" s="81">
        <v>46</v>
      </c>
      <c r="F303" s="80">
        <f t="shared" si="18"/>
        <v>2451.7999999999997</v>
      </c>
      <c r="G303" s="15">
        <f t="shared" si="20"/>
        <v>2451.7999999999997</v>
      </c>
      <c r="H303" s="21">
        <v>2451.7999999999997</v>
      </c>
      <c r="I303" s="21">
        <v>2451.7999999999997</v>
      </c>
      <c r="J303" s="9"/>
      <c r="K303" s="9"/>
      <c r="L303" s="9"/>
      <c r="M303" s="9"/>
      <c r="N303" s="13"/>
    </row>
    <row r="304" spans="1:14" ht="15.75" outlineLevel="1">
      <c r="A304" s="75" t="s">
        <v>359</v>
      </c>
      <c r="B304" s="56" t="s">
        <v>317</v>
      </c>
      <c r="C304" s="25" t="s">
        <v>314</v>
      </c>
      <c r="D304" s="33">
        <v>3</v>
      </c>
      <c r="E304" s="81">
        <v>0</v>
      </c>
      <c r="F304" s="80">
        <f t="shared" si="18"/>
        <v>48.921600000000005</v>
      </c>
      <c r="G304" s="15">
        <f t="shared" si="20"/>
        <v>0</v>
      </c>
      <c r="H304" s="21">
        <v>48.921600000000005</v>
      </c>
      <c r="I304" s="21">
        <v>0</v>
      </c>
      <c r="J304" s="9"/>
      <c r="K304" s="9"/>
      <c r="L304" s="9"/>
      <c r="M304" s="9"/>
      <c r="N304" s="13"/>
    </row>
    <row r="305" spans="1:14" ht="15.75" outlineLevel="1">
      <c r="A305" s="75" t="s">
        <v>360</v>
      </c>
      <c r="B305" s="56" t="s">
        <v>318</v>
      </c>
      <c r="C305" s="25" t="s">
        <v>314</v>
      </c>
      <c r="D305" s="33">
        <v>1</v>
      </c>
      <c r="E305" s="81">
        <v>1</v>
      </c>
      <c r="F305" s="80">
        <f t="shared" si="18"/>
        <v>2733.284</v>
      </c>
      <c r="G305" s="15">
        <f t="shared" si="20"/>
        <v>2733.284</v>
      </c>
      <c r="H305" s="21">
        <v>2733.284</v>
      </c>
      <c r="I305" s="21">
        <v>2733.284</v>
      </c>
      <c r="J305" s="9"/>
      <c r="K305" s="9"/>
      <c r="L305" s="9"/>
      <c r="M305" s="9"/>
      <c r="N305" s="13"/>
    </row>
    <row r="306" spans="1:14" ht="15.75" outlineLevel="1">
      <c r="A306" s="75" t="s">
        <v>361</v>
      </c>
      <c r="B306" s="56" t="s">
        <v>500</v>
      </c>
      <c r="C306" s="25" t="s">
        <v>314</v>
      </c>
      <c r="D306" s="33">
        <v>1</v>
      </c>
      <c r="E306" s="81">
        <v>1</v>
      </c>
      <c r="F306" s="80">
        <f t="shared" si="18"/>
        <v>14100</v>
      </c>
      <c r="G306" s="15">
        <f t="shared" si="20"/>
        <v>14100</v>
      </c>
      <c r="H306" s="21">
        <v>14100</v>
      </c>
      <c r="I306" s="21">
        <v>14100</v>
      </c>
      <c r="J306" s="9"/>
      <c r="K306" s="9"/>
      <c r="L306" s="9"/>
      <c r="M306" s="9"/>
      <c r="N306" s="13"/>
    </row>
    <row r="307" spans="1:14" ht="15.75" outlineLevel="1">
      <c r="A307" s="75" t="s">
        <v>362</v>
      </c>
      <c r="B307" s="56" t="s">
        <v>501</v>
      </c>
      <c r="C307" s="25" t="s">
        <v>314</v>
      </c>
      <c r="D307" s="33">
        <v>1</v>
      </c>
      <c r="E307" s="81">
        <v>1</v>
      </c>
      <c r="F307" s="80">
        <f t="shared" si="18"/>
        <v>1525.95</v>
      </c>
      <c r="G307" s="15">
        <f t="shared" si="20"/>
        <v>1525.95</v>
      </c>
      <c r="H307" s="21">
        <v>1525.95</v>
      </c>
      <c r="I307" s="21">
        <v>1525.95</v>
      </c>
      <c r="J307" s="9"/>
      <c r="K307" s="9"/>
      <c r="L307" s="9"/>
      <c r="M307" s="9"/>
      <c r="N307" s="13"/>
    </row>
    <row r="308" spans="1:14" ht="15.75" outlineLevel="1">
      <c r="A308" s="75" t="s">
        <v>363</v>
      </c>
      <c r="B308" s="56" t="s">
        <v>502</v>
      </c>
      <c r="C308" s="25" t="s">
        <v>314</v>
      </c>
      <c r="D308" s="33">
        <v>2</v>
      </c>
      <c r="E308" s="81">
        <v>2</v>
      </c>
      <c r="F308" s="80">
        <f t="shared" si="18"/>
        <v>4180</v>
      </c>
      <c r="G308" s="15">
        <f t="shared" si="20"/>
        <v>4180</v>
      </c>
      <c r="H308" s="21">
        <v>4180</v>
      </c>
      <c r="I308" s="21">
        <v>4180</v>
      </c>
      <c r="J308" s="9"/>
      <c r="K308" s="9"/>
      <c r="L308" s="9"/>
      <c r="M308" s="9"/>
      <c r="N308" s="13"/>
    </row>
    <row r="309" spans="1:14" ht="15.75" outlineLevel="1">
      <c r="A309" s="75" t="s">
        <v>364</v>
      </c>
      <c r="B309" s="56" t="s">
        <v>503</v>
      </c>
      <c r="C309" s="25" t="s">
        <v>314</v>
      </c>
      <c r="D309" s="33">
        <v>1</v>
      </c>
      <c r="E309" s="81">
        <v>1</v>
      </c>
      <c r="F309" s="80">
        <f t="shared" si="18"/>
        <v>3065.2</v>
      </c>
      <c r="G309" s="15">
        <f t="shared" si="20"/>
        <v>3065.2</v>
      </c>
      <c r="H309" s="21">
        <v>3065.2</v>
      </c>
      <c r="I309" s="21">
        <v>3065.2</v>
      </c>
      <c r="J309" s="9"/>
      <c r="K309" s="9"/>
      <c r="L309" s="9"/>
      <c r="M309" s="9"/>
      <c r="N309" s="13"/>
    </row>
    <row r="310" spans="1:14" ht="15.75" outlineLevel="1">
      <c r="A310" s="75" t="s">
        <v>365</v>
      </c>
      <c r="B310" s="56" t="s">
        <v>319</v>
      </c>
      <c r="C310" s="25" t="s">
        <v>314</v>
      </c>
      <c r="D310" s="33">
        <v>1</v>
      </c>
      <c r="E310" s="81">
        <v>0</v>
      </c>
      <c r="F310" s="80">
        <f t="shared" si="18"/>
        <v>106000</v>
      </c>
      <c r="G310" s="15">
        <f t="shared" si="20"/>
        <v>0</v>
      </c>
      <c r="H310" s="21">
        <v>106000</v>
      </c>
      <c r="I310" s="21">
        <v>0</v>
      </c>
      <c r="J310" s="9"/>
      <c r="K310" s="9"/>
      <c r="L310" s="9"/>
      <c r="M310" s="9"/>
      <c r="N310" s="13"/>
    </row>
    <row r="311" spans="1:14" ht="31.5" outlineLevel="1">
      <c r="A311" s="75" t="s">
        <v>366</v>
      </c>
      <c r="B311" s="56" t="s">
        <v>504</v>
      </c>
      <c r="C311" s="25" t="s">
        <v>314</v>
      </c>
      <c r="D311" s="33">
        <v>50</v>
      </c>
      <c r="E311" s="81">
        <v>50</v>
      </c>
      <c r="F311" s="80">
        <f t="shared" si="18"/>
        <v>72.5</v>
      </c>
      <c r="G311" s="15">
        <f t="shared" si="20"/>
        <v>72.5</v>
      </c>
      <c r="H311" s="21">
        <v>72.5</v>
      </c>
      <c r="I311" s="21">
        <v>72.5</v>
      </c>
      <c r="J311" s="9"/>
      <c r="K311" s="9"/>
      <c r="L311" s="9"/>
      <c r="M311" s="9"/>
      <c r="N311" s="13"/>
    </row>
    <row r="312" spans="1:14" ht="31.5" outlineLevel="1">
      <c r="A312" s="75" t="s">
        <v>367</v>
      </c>
      <c r="B312" s="56" t="s">
        <v>505</v>
      </c>
      <c r="C312" s="25" t="s">
        <v>314</v>
      </c>
      <c r="D312" s="33">
        <v>48</v>
      </c>
      <c r="E312" s="81">
        <v>48</v>
      </c>
      <c r="F312" s="80">
        <f t="shared" si="18"/>
        <v>69.6</v>
      </c>
      <c r="G312" s="15">
        <f t="shared" si="20"/>
        <v>69.6</v>
      </c>
      <c r="H312" s="21">
        <v>69.6</v>
      </c>
      <c r="I312" s="21">
        <v>69.6</v>
      </c>
      <c r="J312" s="9"/>
      <c r="K312" s="9"/>
      <c r="L312" s="9"/>
      <c r="M312" s="9"/>
      <c r="N312" s="13"/>
    </row>
    <row r="313" spans="1:14" ht="31.5" outlineLevel="1">
      <c r="A313" s="75" t="s">
        <v>368</v>
      </c>
      <c r="B313" s="56" t="s">
        <v>506</v>
      </c>
      <c r="C313" s="25" t="s">
        <v>314</v>
      </c>
      <c r="D313" s="33">
        <v>50</v>
      </c>
      <c r="E313" s="81">
        <v>50</v>
      </c>
      <c r="F313" s="80">
        <f t="shared" si="18"/>
        <v>359.95</v>
      </c>
      <c r="G313" s="15">
        <f t="shared" si="20"/>
        <v>359.95</v>
      </c>
      <c r="H313" s="21">
        <v>359.95</v>
      </c>
      <c r="I313" s="21">
        <v>359.95</v>
      </c>
      <c r="J313" s="9"/>
      <c r="K313" s="9"/>
      <c r="L313" s="9"/>
      <c r="M313" s="9"/>
      <c r="N313" s="13"/>
    </row>
    <row r="314" spans="1:14" ht="15.75" outlineLevel="1">
      <c r="A314" s="75" t="s">
        <v>369</v>
      </c>
      <c r="B314" s="56" t="s">
        <v>507</v>
      </c>
      <c r="C314" s="25" t="s">
        <v>314</v>
      </c>
      <c r="D314" s="33">
        <v>132</v>
      </c>
      <c r="E314" s="81">
        <v>132</v>
      </c>
      <c r="F314" s="80">
        <f t="shared" si="18"/>
        <v>15219.6</v>
      </c>
      <c r="G314" s="15">
        <f t="shared" si="20"/>
        <v>15170.1</v>
      </c>
      <c r="H314" s="21">
        <v>15219.6</v>
      </c>
      <c r="I314" s="21">
        <v>15170.1</v>
      </c>
      <c r="J314" s="9"/>
      <c r="K314" s="9"/>
      <c r="L314" s="9"/>
      <c r="M314" s="9"/>
      <c r="N314" s="13"/>
    </row>
    <row r="315" spans="1:14" ht="31.5" outlineLevel="1">
      <c r="A315" s="75" t="s">
        <v>370</v>
      </c>
      <c r="B315" s="56" t="s">
        <v>320</v>
      </c>
      <c r="C315" s="25" t="s">
        <v>314</v>
      </c>
      <c r="D315" s="33">
        <v>1</v>
      </c>
      <c r="E315" s="81">
        <v>1</v>
      </c>
      <c r="F315" s="80">
        <f t="shared" si="18"/>
        <v>297.737</v>
      </c>
      <c r="G315" s="15">
        <f t="shared" si="20"/>
        <v>297.737</v>
      </c>
      <c r="H315" s="21">
        <v>297.737</v>
      </c>
      <c r="I315" s="21">
        <v>297.737</v>
      </c>
      <c r="J315" s="9"/>
      <c r="K315" s="9"/>
      <c r="L315" s="9"/>
      <c r="M315" s="9"/>
      <c r="N315" s="13"/>
    </row>
    <row r="316" spans="1:14" ht="15.75" outlineLevel="1">
      <c r="A316" s="75" t="s">
        <v>371</v>
      </c>
      <c r="B316" s="56" t="s">
        <v>321</v>
      </c>
      <c r="C316" s="25" t="s">
        <v>314</v>
      </c>
      <c r="D316" s="33">
        <v>108</v>
      </c>
      <c r="E316" s="81">
        <v>108</v>
      </c>
      <c r="F316" s="80">
        <f aca="true" t="shared" si="21" ref="F316:F372">H316+J316+L316</f>
        <v>59433.12036000001</v>
      </c>
      <c r="G316" s="15">
        <f t="shared" si="20"/>
        <v>59433.11928</v>
      </c>
      <c r="H316" s="21">
        <v>59433.12036000001</v>
      </c>
      <c r="I316" s="21">
        <v>59433.11928</v>
      </c>
      <c r="J316" s="9"/>
      <c r="K316" s="9"/>
      <c r="L316" s="9"/>
      <c r="M316" s="9"/>
      <c r="N316" s="13"/>
    </row>
    <row r="317" spans="1:14" ht="15.75" outlineLevel="1">
      <c r="A317" s="75" t="s">
        <v>372</v>
      </c>
      <c r="B317" s="56" t="s">
        <v>322</v>
      </c>
      <c r="C317" s="25" t="s">
        <v>314</v>
      </c>
      <c r="D317" s="33">
        <v>8</v>
      </c>
      <c r="E317" s="81">
        <v>8</v>
      </c>
      <c r="F317" s="80">
        <f t="shared" si="21"/>
        <v>950.87936</v>
      </c>
      <c r="G317" s="15">
        <f t="shared" si="20"/>
        <v>857.704</v>
      </c>
      <c r="H317" s="21">
        <v>950.87936</v>
      </c>
      <c r="I317" s="21">
        <v>857.704</v>
      </c>
      <c r="J317" s="9"/>
      <c r="K317" s="9"/>
      <c r="L317" s="9"/>
      <c r="M317" s="9"/>
      <c r="N317" s="13"/>
    </row>
    <row r="318" spans="1:14" ht="15.75" outlineLevel="1">
      <c r="A318" s="75" t="s">
        <v>373</v>
      </c>
      <c r="B318" s="56" t="s">
        <v>323</v>
      </c>
      <c r="C318" s="25" t="s">
        <v>314</v>
      </c>
      <c r="D318" s="33">
        <v>15</v>
      </c>
      <c r="E318" s="81">
        <v>15</v>
      </c>
      <c r="F318" s="80">
        <f t="shared" si="21"/>
        <v>1969.4069999999997</v>
      </c>
      <c r="G318" s="15">
        <f t="shared" si="20"/>
        <v>1969.4069999999997</v>
      </c>
      <c r="H318" s="21">
        <v>1969.4069999999997</v>
      </c>
      <c r="I318" s="21">
        <v>1969.4069999999997</v>
      </c>
      <c r="J318" s="9"/>
      <c r="K318" s="9"/>
      <c r="L318" s="9"/>
      <c r="M318" s="9"/>
      <c r="N318" s="13"/>
    </row>
    <row r="319" spans="1:14" ht="15.75" outlineLevel="1">
      <c r="A319" s="75" t="s">
        <v>374</v>
      </c>
      <c r="B319" s="56" t="s">
        <v>556</v>
      </c>
      <c r="C319" s="25" t="s">
        <v>314</v>
      </c>
      <c r="D319" s="33">
        <v>2</v>
      </c>
      <c r="E319" s="81">
        <v>2</v>
      </c>
      <c r="F319" s="80">
        <f t="shared" si="21"/>
        <v>964.28</v>
      </c>
      <c r="G319" s="15">
        <f t="shared" si="20"/>
        <v>964.28</v>
      </c>
      <c r="H319" s="21">
        <v>964.28</v>
      </c>
      <c r="I319" s="21">
        <v>964.28</v>
      </c>
      <c r="J319" s="9"/>
      <c r="K319" s="9"/>
      <c r="L319" s="9"/>
      <c r="M319" s="9"/>
      <c r="N319" s="13"/>
    </row>
    <row r="320" spans="1:14" ht="15.75" outlineLevel="1">
      <c r="A320" s="75" t="s">
        <v>375</v>
      </c>
      <c r="B320" s="56" t="s">
        <v>324</v>
      </c>
      <c r="C320" s="25" t="s">
        <v>314</v>
      </c>
      <c r="D320" s="33">
        <v>1</v>
      </c>
      <c r="E320" s="81">
        <v>1</v>
      </c>
      <c r="F320" s="80">
        <f t="shared" si="21"/>
        <v>6704.609820000001</v>
      </c>
      <c r="G320" s="15">
        <f t="shared" si="20"/>
        <v>5500</v>
      </c>
      <c r="H320" s="21">
        <v>6704.609820000001</v>
      </c>
      <c r="I320" s="21">
        <v>5500</v>
      </c>
      <c r="J320" s="9"/>
      <c r="K320" s="9"/>
      <c r="L320" s="9"/>
      <c r="M320" s="9"/>
      <c r="N320" s="13"/>
    </row>
    <row r="321" spans="1:14" ht="15.75" outlineLevel="1">
      <c r="A321" s="75" t="s">
        <v>376</v>
      </c>
      <c r="B321" s="56" t="s">
        <v>325</v>
      </c>
      <c r="C321" s="25" t="s">
        <v>314</v>
      </c>
      <c r="D321" s="33">
        <v>1</v>
      </c>
      <c r="E321" s="81">
        <v>1</v>
      </c>
      <c r="F321" s="80">
        <f t="shared" si="21"/>
        <v>1039.81518</v>
      </c>
      <c r="G321" s="15">
        <f t="shared" si="20"/>
        <v>1039.81518</v>
      </c>
      <c r="H321" s="21">
        <v>1039.81518</v>
      </c>
      <c r="I321" s="21">
        <v>1039.81518</v>
      </c>
      <c r="J321" s="9"/>
      <c r="K321" s="9"/>
      <c r="L321" s="9"/>
      <c r="M321" s="9"/>
      <c r="N321" s="13"/>
    </row>
    <row r="322" spans="1:14" ht="15.75" outlineLevel="1">
      <c r="A322" s="75" t="s">
        <v>377</v>
      </c>
      <c r="B322" s="56" t="s">
        <v>557</v>
      </c>
      <c r="C322" s="25" t="s">
        <v>314</v>
      </c>
      <c r="D322" s="33">
        <v>2</v>
      </c>
      <c r="E322" s="81">
        <v>2</v>
      </c>
      <c r="F322" s="80">
        <f t="shared" si="21"/>
        <v>6542.06964</v>
      </c>
      <c r="G322" s="15">
        <f t="shared" si="20"/>
        <v>6542.06964</v>
      </c>
      <c r="H322" s="21">
        <v>6542.06964</v>
      </c>
      <c r="I322" s="21">
        <v>6542.06964</v>
      </c>
      <c r="J322" s="9"/>
      <c r="K322" s="9"/>
      <c r="L322" s="9"/>
      <c r="M322" s="9"/>
      <c r="N322" s="13"/>
    </row>
    <row r="323" spans="1:14" ht="15.75" outlineLevel="1">
      <c r="A323" s="75" t="s">
        <v>378</v>
      </c>
      <c r="B323" s="56" t="s">
        <v>555</v>
      </c>
      <c r="C323" s="25" t="s">
        <v>314</v>
      </c>
      <c r="D323" s="33">
        <v>180</v>
      </c>
      <c r="E323" s="81">
        <v>112</v>
      </c>
      <c r="F323" s="80">
        <f t="shared" si="21"/>
        <v>29090.854799999997</v>
      </c>
      <c r="G323" s="15">
        <f t="shared" si="20"/>
        <v>28872.256</v>
      </c>
      <c r="H323" s="21">
        <v>29090.854799999997</v>
      </c>
      <c r="I323" s="21">
        <v>28872.256</v>
      </c>
      <c r="J323" s="9"/>
      <c r="K323" s="9"/>
      <c r="L323" s="9"/>
      <c r="M323" s="9"/>
      <c r="N323" s="13"/>
    </row>
    <row r="324" spans="1:14" ht="15.75" outlineLevel="1">
      <c r="A324" s="75" t="s">
        <v>379</v>
      </c>
      <c r="B324" s="56" t="s">
        <v>554</v>
      </c>
      <c r="C324" s="25" t="s">
        <v>314</v>
      </c>
      <c r="D324" s="33">
        <v>300</v>
      </c>
      <c r="E324" s="81">
        <v>256</v>
      </c>
      <c r="F324" s="80">
        <f t="shared" si="21"/>
        <v>22667.364</v>
      </c>
      <c r="G324" s="15">
        <f t="shared" si="20"/>
        <v>22824.01024</v>
      </c>
      <c r="H324" s="21">
        <v>22667.364</v>
      </c>
      <c r="I324" s="21">
        <v>22824.01024</v>
      </c>
      <c r="J324" s="9"/>
      <c r="K324" s="9"/>
      <c r="L324" s="9"/>
      <c r="M324" s="9"/>
      <c r="N324" s="13"/>
    </row>
    <row r="325" spans="1:14" ht="15.75" outlineLevel="1">
      <c r="A325" s="75" t="s">
        <v>380</v>
      </c>
      <c r="B325" s="56" t="s">
        <v>326</v>
      </c>
      <c r="C325" s="25" t="s">
        <v>314</v>
      </c>
      <c r="D325" s="33">
        <v>1</v>
      </c>
      <c r="E325" s="81">
        <v>0</v>
      </c>
      <c r="F325" s="80">
        <f t="shared" si="21"/>
        <v>4639.648</v>
      </c>
      <c r="G325" s="15">
        <f t="shared" si="20"/>
        <v>0</v>
      </c>
      <c r="H325" s="21">
        <v>4639.648</v>
      </c>
      <c r="I325" s="21">
        <v>0</v>
      </c>
      <c r="J325" s="9"/>
      <c r="K325" s="9"/>
      <c r="L325" s="9"/>
      <c r="M325" s="9"/>
      <c r="N325" s="13"/>
    </row>
    <row r="326" spans="1:14" ht="15.75" outlineLevel="1">
      <c r="A326" s="75" t="s">
        <v>381</v>
      </c>
      <c r="B326" s="56" t="s">
        <v>327</v>
      </c>
      <c r="C326" s="25" t="s">
        <v>314</v>
      </c>
      <c r="D326" s="33">
        <v>1</v>
      </c>
      <c r="E326" s="81">
        <v>1</v>
      </c>
      <c r="F326" s="80">
        <f t="shared" si="21"/>
        <v>3088.8</v>
      </c>
      <c r="G326" s="15">
        <f t="shared" si="20"/>
        <v>3088</v>
      </c>
      <c r="H326" s="21">
        <v>3088.8</v>
      </c>
      <c r="I326" s="21">
        <v>3088</v>
      </c>
      <c r="J326" s="9"/>
      <c r="K326" s="9"/>
      <c r="L326" s="9"/>
      <c r="M326" s="9"/>
      <c r="N326" s="13"/>
    </row>
    <row r="327" spans="1:14" ht="30.75" outlineLevel="1">
      <c r="A327" s="75" t="s">
        <v>382</v>
      </c>
      <c r="B327" s="56" t="s">
        <v>354</v>
      </c>
      <c r="C327" s="25" t="s">
        <v>314</v>
      </c>
      <c r="D327" s="33">
        <v>2</v>
      </c>
      <c r="E327" s="81">
        <v>2</v>
      </c>
      <c r="F327" s="80">
        <f t="shared" si="21"/>
        <v>600</v>
      </c>
      <c r="G327" s="15">
        <f t="shared" si="20"/>
        <v>600</v>
      </c>
      <c r="H327" s="21">
        <v>600</v>
      </c>
      <c r="I327" s="21">
        <v>600</v>
      </c>
      <c r="J327" s="9"/>
      <c r="K327" s="9"/>
      <c r="L327" s="9"/>
      <c r="M327" s="9"/>
      <c r="N327" s="13"/>
    </row>
    <row r="328" spans="1:14" ht="31.5" outlineLevel="1">
      <c r="A328" s="75" t="s">
        <v>383</v>
      </c>
      <c r="B328" s="56" t="s">
        <v>553</v>
      </c>
      <c r="C328" s="25" t="s">
        <v>314</v>
      </c>
      <c r="D328" s="33">
        <v>1</v>
      </c>
      <c r="E328" s="81">
        <v>0</v>
      </c>
      <c r="F328" s="80">
        <f t="shared" si="21"/>
        <v>2523.31832</v>
      </c>
      <c r="G328" s="15">
        <f t="shared" si="20"/>
        <v>0</v>
      </c>
      <c r="H328" s="21">
        <v>2523.31832</v>
      </c>
      <c r="I328" s="21">
        <v>0</v>
      </c>
      <c r="J328" s="9"/>
      <c r="K328" s="9"/>
      <c r="L328" s="9"/>
      <c r="M328" s="9"/>
      <c r="N328" s="13"/>
    </row>
    <row r="329" spans="1:14" ht="31.5" outlineLevel="1">
      <c r="A329" s="75" t="s">
        <v>384</v>
      </c>
      <c r="B329" s="56" t="s">
        <v>328</v>
      </c>
      <c r="C329" s="25" t="s">
        <v>314</v>
      </c>
      <c r="D329" s="33">
        <v>1</v>
      </c>
      <c r="E329" s="81">
        <v>1</v>
      </c>
      <c r="F329" s="80">
        <f t="shared" si="21"/>
        <v>13896.6</v>
      </c>
      <c r="G329" s="15">
        <f t="shared" si="20"/>
        <v>13890</v>
      </c>
      <c r="H329" s="21">
        <v>13896.6</v>
      </c>
      <c r="I329" s="21">
        <v>13890</v>
      </c>
      <c r="J329" s="9"/>
      <c r="K329" s="9"/>
      <c r="L329" s="9"/>
      <c r="M329" s="9"/>
      <c r="N329" s="13"/>
    </row>
    <row r="330" spans="1:14" ht="15.75" outlineLevel="1">
      <c r="A330" s="75" t="s">
        <v>385</v>
      </c>
      <c r="B330" s="56" t="s">
        <v>329</v>
      </c>
      <c r="C330" s="25" t="s">
        <v>314</v>
      </c>
      <c r="D330" s="33">
        <v>7</v>
      </c>
      <c r="E330" s="81">
        <v>7</v>
      </c>
      <c r="F330" s="80">
        <f t="shared" si="21"/>
        <v>436.8</v>
      </c>
      <c r="G330" s="15">
        <f t="shared" si="20"/>
        <v>352.996</v>
      </c>
      <c r="H330" s="21">
        <v>436.8</v>
      </c>
      <c r="I330" s="21">
        <v>352.996</v>
      </c>
      <c r="J330" s="9"/>
      <c r="K330" s="9"/>
      <c r="L330" s="9"/>
      <c r="M330" s="9"/>
      <c r="N330" s="13"/>
    </row>
    <row r="331" spans="1:14" ht="15.75" outlineLevel="1">
      <c r="A331" s="75" t="s">
        <v>386</v>
      </c>
      <c r="B331" s="56" t="s">
        <v>330</v>
      </c>
      <c r="C331" s="25" t="s">
        <v>314</v>
      </c>
      <c r="D331" s="33">
        <v>7</v>
      </c>
      <c r="E331" s="81">
        <v>7</v>
      </c>
      <c r="F331" s="80">
        <f t="shared" si="21"/>
        <v>1207.521</v>
      </c>
      <c r="G331" s="15">
        <f t="shared" si="20"/>
        <v>1207.521</v>
      </c>
      <c r="H331" s="21">
        <v>1207.521</v>
      </c>
      <c r="I331" s="21">
        <v>1207.521</v>
      </c>
      <c r="J331" s="9"/>
      <c r="K331" s="9"/>
      <c r="L331" s="9"/>
      <c r="M331" s="9"/>
      <c r="N331" s="13"/>
    </row>
    <row r="332" spans="1:14" ht="15.75" outlineLevel="1">
      <c r="A332" s="75" t="s">
        <v>387</v>
      </c>
      <c r="B332" s="56" t="s">
        <v>331</v>
      </c>
      <c r="C332" s="25" t="s">
        <v>314</v>
      </c>
      <c r="D332" s="33">
        <v>1</v>
      </c>
      <c r="E332" s="81">
        <v>1</v>
      </c>
      <c r="F332" s="80">
        <f t="shared" si="21"/>
        <v>1103.45</v>
      </c>
      <c r="G332" s="15">
        <f t="shared" si="20"/>
        <v>946.5</v>
      </c>
      <c r="H332" s="21">
        <v>1103.45</v>
      </c>
      <c r="I332" s="21">
        <v>946.5</v>
      </c>
      <c r="J332" s="9"/>
      <c r="K332" s="9"/>
      <c r="L332" s="9"/>
      <c r="M332" s="9"/>
      <c r="N332" s="13"/>
    </row>
    <row r="333" spans="1:14" ht="31.5" outlineLevel="1">
      <c r="A333" s="75" t="s">
        <v>388</v>
      </c>
      <c r="B333" s="56" t="s">
        <v>332</v>
      </c>
      <c r="C333" s="25" t="s">
        <v>314</v>
      </c>
      <c r="D333" s="33">
        <v>1</v>
      </c>
      <c r="E333" s="81">
        <v>1</v>
      </c>
      <c r="F333" s="80">
        <f t="shared" si="21"/>
        <v>589.9985</v>
      </c>
      <c r="G333" s="15">
        <f t="shared" si="20"/>
        <v>1394.997</v>
      </c>
      <c r="H333" s="21">
        <f>1179.997/2</f>
        <v>589.9985</v>
      </c>
      <c r="I333" s="21">
        <v>1394.997</v>
      </c>
      <c r="J333" s="9"/>
      <c r="K333" s="9"/>
      <c r="L333" s="9"/>
      <c r="M333" s="9"/>
      <c r="N333" s="13"/>
    </row>
    <row r="334" spans="1:14" ht="15.75" outlineLevel="1">
      <c r="A334" s="75" t="s">
        <v>389</v>
      </c>
      <c r="B334" s="56" t="s">
        <v>508</v>
      </c>
      <c r="C334" s="25" t="s">
        <v>314</v>
      </c>
      <c r="D334" s="33">
        <v>2</v>
      </c>
      <c r="E334" s="81">
        <v>2</v>
      </c>
      <c r="F334" s="80">
        <f t="shared" si="21"/>
        <v>426.58592</v>
      </c>
      <c r="G334" s="15">
        <f t="shared" si="20"/>
        <v>426.58</v>
      </c>
      <c r="H334" s="21">
        <v>426.58592</v>
      </c>
      <c r="I334" s="21">
        <v>426.58</v>
      </c>
      <c r="J334" s="9"/>
      <c r="K334" s="9"/>
      <c r="L334" s="9"/>
      <c r="M334" s="9"/>
      <c r="N334" s="13"/>
    </row>
    <row r="335" spans="1:14" ht="15.75" outlineLevel="1">
      <c r="A335" s="75" t="s">
        <v>390</v>
      </c>
      <c r="B335" s="56" t="s">
        <v>552</v>
      </c>
      <c r="C335" s="25" t="s">
        <v>314</v>
      </c>
      <c r="D335" s="33">
        <v>8</v>
      </c>
      <c r="E335" s="81">
        <v>8</v>
      </c>
      <c r="F335" s="80">
        <f t="shared" si="21"/>
        <v>471.71840000000003</v>
      </c>
      <c r="G335" s="15">
        <f t="shared" si="20"/>
        <v>441.928</v>
      </c>
      <c r="H335" s="21">
        <v>471.71840000000003</v>
      </c>
      <c r="I335" s="21">
        <v>441.928</v>
      </c>
      <c r="J335" s="9"/>
      <c r="K335" s="9"/>
      <c r="L335" s="9"/>
      <c r="M335" s="9"/>
      <c r="N335" s="13"/>
    </row>
    <row r="336" spans="1:14" ht="15.75" outlineLevel="1">
      <c r="A336" s="75" t="s">
        <v>391</v>
      </c>
      <c r="B336" s="56" t="s">
        <v>333</v>
      </c>
      <c r="C336" s="25" t="s">
        <v>314</v>
      </c>
      <c r="D336" s="33">
        <v>2</v>
      </c>
      <c r="E336" s="81">
        <v>2</v>
      </c>
      <c r="F336" s="80">
        <f t="shared" si="21"/>
        <v>100.3184</v>
      </c>
      <c r="G336" s="15">
        <f t="shared" si="20"/>
        <v>35.9</v>
      </c>
      <c r="H336" s="21">
        <v>100.3184</v>
      </c>
      <c r="I336" s="21">
        <v>35.9</v>
      </c>
      <c r="J336" s="9"/>
      <c r="K336" s="9"/>
      <c r="L336" s="9"/>
      <c r="M336" s="9"/>
      <c r="N336" s="13"/>
    </row>
    <row r="337" spans="1:14" ht="15.75" outlineLevel="1">
      <c r="A337" s="75" t="s">
        <v>392</v>
      </c>
      <c r="B337" s="56" t="s">
        <v>551</v>
      </c>
      <c r="C337" s="25" t="s">
        <v>314</v>
      </c>
      <c r="D337" s="33">
        <v>6</v>
      </c>
      <c r="E337" s="81">
        <v>0</v>
      </c>
      <c r="F337" s="80">
        <f t="shared" si="21"/>
        <v>182.19</v>
      </c>
      <c r="G337" s="15">
        <f t="shared" si="20"/>
        <v>0</v>
      </c>
      <c r="H337" s="21">
        <v>182.19</v>
      </c>
      <c r="I337" s="21">
        <v>0</v>
      </c>
      <c r="J337" s="9"/>
      <c r="K337" s="9"/>
      <c r="L337" s="9"/>
      <c r="M337" s="9"/>
      <c r="N337" s="13"/>
    </row>
    <row r="338" spans="1:14" ht="31.5" outlineLevel="1">
      <c r="A338" s="75" t="s">
        <v>393</v>
      </c>
      <c r="B338" s="56" t="s">
        <v>550</v>
      </c>
      <c r="C338" s="25" t="s">
        <v>314</v>
      </c>
      <c r="D338" s="33">
        <v>7</v>
      </c>
      <c r="E338" s="81">
        <v>0</v>
      </c>
      <c r="F338" s="80">
        <f t="shared" si="21"/>
        <v>2310</v>
      </c>
      <c r="G338" s="15">
        <f t="shared" si="20"/>
        <v>0</v>
      </c>
      <c r="H338" s="21">
        <v>2310</v>
      </c>
      <c r="I338" s="21">
        <v>0</v>
      </c>
      <c r="J338" s="9"/>
      <c r="K338" s="9"/>
      <c r="L338" s="9"/>
      <c r="M338" s="9"/>
      <c r="N338" s="13"/>
    </row>
    <row r="339" spans="1:14" ht="15.75" outlineLevel="1">
      <c r="A339" s="75" t="s">
        <v>394</v>
      </c>
      <c r="B339" s="56" t="s">
        <v>549</v>
      </c>
      <c r="C339" s="25" t="s">
        <v>314</v>
      </c>
      <c r="D339" s="33">
        <v>8</v>
      </c>
      <c r="E339" s="81">
        <v>8</v>
      </c>
      <c r="F339" s="80">
        <f t="shared" si="21"/>
        <v>104</v>
      </c>
      <c r="G339" s="15">
        <f t="shared" si="20"/>
        <v>104</v>
      </c>
      <c r="H339" s="21">
        <v>104</v>
      </c>
      <c r="I339" s="21">
        <v>104</v>
      </c>
      <c r="J339" s="9"/>
      <c r="K339" s="9"/>
      <c r="L339" s="9"/>
      <c r="M339" s="9"/>
      <c r="N339" s="13"/>
    </row>
    <row r="340" spans="1:14" ht="15.75" outlineLevel="1">
      <c r="A340" s="75" t="s">
        <v>395</v>
      </c>
      <c r="B340" s="56" t="s">
        <v>548</v>
      </c>
      <c r="C340" s="25" t="s">
        <v>314</v>
      </c>
      <c r="D340" s="33">
        <v>8</v>
      </c>
      <c r="E340" s="81">
        <v>8</v>
      </c>
      <c r="F340" s="80">
        <f t="shared" si="21"/>
        <v>129.44</v>
      </c>
      <c r="G340" s="15">
        <f t="shared" si="20"/>
        <v>129.44</v>
      </c>
      <c r="H340" s="21">
        <v>129.44</v>
      </c>
      <c r="I340" s="21">
        <v>129.44</v>
      </c>
      <c r="J340" s="9"/>
      <c r="K340" s="9"/>
      <c r="L340" s="9"/>
      <c r="M340" s="9"/>
      <c r="N340" s="13"/>
    </row>
    <row r="341" spans="1:14" ht="15.75" outlineLevel="1">
      <c r="A341" s="75" t="s">
        <v>396</v>
      </c>
      <c r="B341" s="56" t="s">
        <v>547</v>
      </c>
      <c r="C341" s="25" t="s">
        <v>314</v>
      </c>
      <c r="D341" s="33">
        <v>2</v>
      </c>
      <c r="E341" s="81">
        <v>2</v>
      </c>
      <c r="F341" s="80">
        <f t="shared" si="21"/>
        <v>44.4</v>
      </c>
      <c r="G341" s="15">
        <f t="shared" si="20"/>
        <v>43.4</v>
      </c>
      <c r="H341" s="21">
        <v>44.4</v>
      </c>
      <c r="I341" s="21">
        <v>43.4</v>
      </c>
      <c r="J341" s="9"/>
      <c r="K341" s="9"/>
      <c r="L341" s="9"/>
      <c r="M341" s="9"/>
      <c r="N341" s="13"/>
    </row>
    <row r="342" spans="1:14" ht="15.75" outlineLevel="1">
      <c r="A342" s="75" t="s">
        <v>397</v>
      </c>
      <c r="B342" s="56" t="s">
        <v>546</v>
      </c>
      <c r="C342" s="25" t="s">
        <v>314</v>
      </c>
      <c r="D342" s="33">
        <v>1</v>
      </c>
      <c r="E342" s="81">
        <v>1</v>
      </c>
      <c r="F342" s="80">
        <f t="shared" si="21"/>
        <v>63.199999999999996</v>
      </c>
      <c r="G342" s="15">
        <f t="shared" si="20"/>
        <v>63.199999999999996</v>
      </c>
      <c r="H342" s="21">
        <v>63.199999999999996</v>
      </c>
      <c r="I342" s="21">
        <v>63.199999999999996</v>
      </c>
      <c r="J342" s="9"/>
      <c r="K342" s="9"/>
      <c r="L342" s="9"/>
      <c r="M342" s="9"/>
      <c r="N342" s="13"/>
    </row>
    <row r="343" spans="1:14" ht="15.75" outlineLevel="1">
      <c r="A343" s="75" t="s">
        <v>398</v>
      </c>
      <c r="B343" s="56" t="s">
        <v>334</v>
      </c>
      <c r="C343" s="25" t="s">
        <v>314</v>
      </c>
      <c r="D343" s="33">
        <v>8</v>
      </c>
      <c r="E343" s="81">
        <v>8</v>
      </c>
      <c r="F343" s="80">
        <f t="shared" si="21"/>
        <v>262.4</v>
      </c>
      <c r="G343" s="15">
        <f t="shared" si="20"/>
        <v>153.6</v>
      </c>
      <c r="H343" s="21">
        <v>262.4</v>
      </c>
      <c r="I343" s="21">
        <v>153.6</v>
      </c>
      <c r="J343" s="9"/>
      <c r="K343" s="9"/>
      <c r="L343" s="9"/>
      <c r="M343" s="9"/>
      <c r="N343" s="13"/>
    </row>
    <row r="344" spans="1:14" ht="15.75" outlineLevel="1">
      <c r="A344" s="75" t="s">
        <v>399</v>
      </c>
      <c r="B344" s="56" t="s">
        <v>335</v>
      </c>
      <c r="C344" s="25" t="s">
        <v>314</v>
      </c>
      <c r="D344" s="33">
        <v>10</v>
      </c>
      <c r="E344" s="81">
        <v>10</v>
      </c>
      <c r="F344" s="80">
        <f t="shared" si="21"/>
        <v>767.3</v>
      </c>
      <c r="G344" s="15">
        <f t="shared" si="20"/>
        <v>767.3</v>
      </c>
      <c r="H344" s="21">
        <v>767.3</v>
      </c>
      <c r="I344" s="21">
        <v>767.3</v>
      </c>
      <c r="J344" s="9"/>
      <c r="K344" s="9"/>
      <c r="L344" s="9"/>
      <c r="M344" s="9"/>
      <c r="N344" s="13"/>
    </row>
    <row r="345" spans="1:14" ht="31.5" outlineLevel="1">
      <c r="A345" s="75" t="s">
        <v>400</v>
      </c>
      <c r="B345" s="56" t="s">
        <v>336</v>
      </c>
      <c r="C345" s="25" t="s">
        <v>314</v>
      </c>
      <c r="D345" s="33">
        <v>1</v>
      </c>
      <c r="E345" s="81">
        <v>1</v>
      </c>
      <c r="F345" s="80">
        <f t="shared" si="21"/>
        <v>229.154</v>
      </c>
      <c r="G345" s="15">
        <f t="shared" si="20"/>
        <v>229.154</v>
      </c>
      <c r="H345" s="21">
        <v>229.154</v>
      </c>
      <c r="I345" s="21">
        <v>229.154</v>
      </c>
      <c r="J345" s="9"/>
      <c r="K345" s="9"/>
      <c r="L345" s="9"/>
      <c r="M345" s="9"/>
      <c r="N345" s="13"/>
    </row>
    <row r="346" spans="1:14" ht="15.75" outlineLevel="1">
      <c r="A346" s="75" t="s">
        <v>401</v>
      </c>
      <c r="B346" s="56" t="s">
        <v>509</v>
      </c>
      <c r="C346" s="25" t="s">
        <v>314</v>
      </c>
      <c r="D346" s="33">
        <v>15</v>
      </c>
      <c r="E346" s="81">
        <v>15</v>
      </c>
      <c r="F346" s="80">
        <f t="shared" si="21"/>
        <v>225.39</v>
      </c>
      <c r="G346" s="15">
        <f t="shared" si="20"/>
        <v>225.39</v>
      </c>
      <c r="H346" s="21">
        <v>225.39</v>
      </c>
      <c r="I346" s="21">
        <v>225.39</v>
      </c>
      <c r="J346" s="9"/>
      <c r="K346" s="9"/>
      <c r="L346" s="9"/>
      <c r="M346" s="9"/>
      <c r="N346" s="13"/>
    </row>
    <row r="347" spans="1:14" ht="15.75" outlineLevel="1">
      <c r="A347" s="75" t="s">
        <v>402</v>
      </c>
      <c r="B347" s="56" t="s">
        <v>510</v>
      </c>
      <c r="C347" s="25" t="s">
        <v>314</v>
      </c>
      <c r="D347" s="33">
        <v>12</v>
      </c>
      <c r="E347" s="81">
        <v>12</v>
      </c>
      <c r="F347" s="80">
        <f t="shared" si="21"/>
        <v>180.312</v>
      </c>
      <c r="G347" s="15">
        <f t="shared" si="20"/>
        <v>180.312</v>
      </c>
      <c r="H347" s="21">
        <v>180.312</v>
      </c>
      <c r="I347" s="21">
        <v>180.312</v>
      </c>
      <c r="J347" s="9"/>
      <c r="K347" s="9"/>
      <c r="L347" s="9"/>
      <c r="M347" s="9"/>
      <c r="N347" s="13"/>
    </row>
    <row r="348" spans="1:14" ht="15.75" outlineLevel="1">
      <c r="A348" s="75" t="s">
        <v>403</v>
      </c>
      <c r="B348" s="56" t="s">
        <v>511</v>
      </c>
      <c r="C348" s="25" t="s">
        <v>314</v>
      </c>
      <c r="D348" s="33">
        <v>9</v>
      </c>
      <c r="E348" s="81">
        <v>9</v>
      </c>
      <c r="F348" s="80">
        <f t="shared" si="21"/>
        <v>150.993</v>
      </c>
      <c r="G348" s="15">
        <f t="shared" si="20"/>
        <v>150.993</v>
      </c>
      <c r="H348" s="21">
        <v>150.993</v>
      </c>
      <c r="I348" s="21">
        <v>150.993</v>
      </c>
      <c r="J348" s="9"/>
      <c r="K348" s="9"/>
      <c r="L348" s="9"/>
      <c r="M348" s="9"/>
      <c r="N348" s="13"/>
    </row>
    <row r="349" spans="1:14" ht="15.75" outlineLevel="1">
      <c r="A349" s="75" t="s">
        <v>404</v>
      </c>
      <c r="B349" s="56" t="s">
        <v>512</v>
      </c>
      <c r="C349" s="25" t="s">
        <v>314</v>
      </c>
      <c r="D349" s="33">
        <v>3</v>
      </c>
      <c r="E349" s="81">
        <v>3</v>
      </c>
      <c r="F349" s="80">
        <f t="shared" si="21"/>
        <v>1394.589</v>
      </c>
      <c r="G349" s="15">
        <f t="shared" si="20"/>
        <v>1394.589</v>
      </c>
      <c r="H349" s="21">
        <v>1394.589</v>
      </c>
      <c r="I349" s="21">
        <v>1394.589</v>
      </c>
      <c r="J349" s="9"/>
      <c r="K349" s="9"/>
      <c r="L349" s="9"/>
      <c r="M349" s="9"/>
      <c r="N349" s="13"/>
    </row>
    <row r="350" spans="1:14" ht="15.75" outlineLevel="1">
      <c r="A350" s="75" t="s">
        <v>405</v>
      </c>
      <c r="B350" s="56" t="s">
        <v>513</v>
      </c>
      <c r="C350" s="25" t="s">
        <v>314</v>
      </c>
      <c r="D350" s="33">
        <v>50</v>
      </c>
      <c r="E350" s="81">
        <v>50</v>
      </c>
      <c r="F350" s="80">
        <f t="shared" si="21"/>
        <v>499.2</v>
      </c>
      <c r="G350" s="15">
        <f t="shared" si="20"/>
        <v>475</v>
      </c>
      <c r="H350" s="21">
        <v>499.2</v>
      </c>
      <c r="I350" s="21">
        <v>475</v>
      </c>
      <c r="J350" s="9"/>
      <c r="K350" s="9"/>
      <c r="L350" s="9"/>
      <c r="M350" s="9"/>
      <c r="N350" s="13"/>
    </row>
    <row r="351" spans="1:14" ht="15.75" outlineLevel="1">
      <c r="A351" s="75" t="s">
        <v>406</v>
      </c>
      <c r="B351" s="56" t="s">
        <v>514</v>
      </c>
      <c r="C351" s="25" t="s">
        <v>314</v>
      </c>
      <c r="D351" s="33">
        <v>50</v>
      </c>
      <c r="E351" s="81">
        <v>50</v>
      </c>
      <c r="F351" s="80">
        <f t="shared" si="21"/>
        <v>348.325</v>
      </c>
      <c r="G351" s="15">
        <f t="shared" si="20"/>
        <v>313.1645</v>
      </c>
      <c r="H351" s="21">
        <v>348.325</v>
      </c>
      <c r="I351" s="21">
        <v>313.1645</v>
      </c>
      <c r="J351" s="9"/>
      <c r="K351" s="9"/>
      <c r="L351" s="9"/>
      <c r="M351" s="9"/>
      <c r="N351" s="13"/>
    </row>
    <row r="352" spans="1:14" ht="15.75" outlineLevel="1">
      <c r="A352" s="75" t="s">
        <v>407</v>
      </c>
      <c r="B352" s="56" t="s">
        <v>515</v>
      </c>
      <c r="C352" s="25" t="s">
        <v>314</v>
      </c>
      <c r="D352" s="33">
        <v>20</v>
      </c>
      <c r="E352" s="81">
        <v>20</v>
      </c>
      <c r="F352" s="80">
        <f t="shared" si="21"/>
        <v>363.795</v>
      </c>
      <c r="G352" s="15">
        <f t="shared" si="20"/>
        <v>297.76</v>
      </c>
      <c r="H352" s="21">
        <v>363.795</v>
      </c>
      <c r="I352" s="21">
        <v>297.76</v>
      </c>
      <c r="J352" s="9"/>
      <c r="K352" s="9"/>
      <c r="L352" s="9"/>
      <c r="M352" s="9"/>
      <c r="N352" s="13"/>
    </row>
    <row r="353" spans="1:14" ht="15.75" outlineLevel="1">
      <c r="A353" s="75" t="s">
        <v>408</v>
      </c>
      <c r="B353" s="56" t="s">
        <v>516</v>
      </c>
      <c r="C353" s="25" t="s">
        <v>314</v>
      </c>
      <c r="D353" s="33">
        <v>7</v>
      </c>
      <c r="E353" s="81">
        <v>6</v>
      </c>
      <c r="F353" s="80">
        <f t="shared" si="21"/>
        <v>326.78625</v>
      </c>
      <c r="G353" s="15">
        <f t="shared" si="20"/>
        <v>210</v>
      </c>
      <c r="H353" s="21">
        <v>326.78625</v>
      </c>
      <c r="I353" s="21">
        <v>210</v>
      </c>
      <c r="J353" s="9"/>
      <c r="K353" s="9"/>
      <c r="L353" s="9"/>
      <c r="M353" s="9"/>
      <c r="N353" s="13"/>
    </row>
    <row r="354" spans="1:14" ht="15.75" outlineLevel="1">
      <c r="A354" s="75" t="s">
        <v>409</v>
      </c>
      <c r="B354" s="56" t="s">
        <v>517</v>
      </c>
      <c r="C354" s="25" t="s">
        <v>314</v>
      </c>
      <c r="D354" s="33">
        <v>1</v>
      </c>
      <c r="E354" s="81">
        <v>0</v>
      </c>
      <c r="F354" s="80">
        <f t="shared" si="21"/>
        <v>123.64375</v>
      </c>
      <c r="G354" s="15">
        <f t="shared" si="20"/>
        <v>0</v>
      </c>
      <c r="H354" s="21">
        <v>123.64375</v>
      </c>
      <c r="I354" s="21">
        <v>0</v>
      </c>
      <c r="J354" s="9"/>
      <c r="K354" s="9"/>
      <c r="L354" s="9"/>
      <c r="M354" s="9"/>
      <c r="N354" s="13"/>
    </row>
    <row r="355" spans="1:14" ht="15.75" outlineLevel="1">
      <c r="A355" s="75" t="s">
        <v>410</v>
      </c>
      <c r="B355" s="56" t="s">
        <v>337</v>
      </c>
      <c r="C355" s="25" t="s">
        <v>314</v>
      </c>
      <c r="D355" s="33">
        <v>1</v>
      </c>
      <c r="E355" s="81">
        <v>0</v>
      </c>
      <c r="F355" s="80">
        <f t="shared" si="21"/>
        <v>55.719</v>
      </c>
      <c r="G355" s="15">
        <f t="shared" si="20"/>
        <v>0</v>
      </c>
      <c r="H355" s="21">
        <v>55.719</v>
      </c>
      <c r="I355" s="21">
        <v>0</v>
      </c>
      <c r="J355" s="9"/>
      <c r="K355" s="9"/>
      <c r="L355" s="9"/>
      <c r="M355" s="9"/>
      <c r="N355" s="13"/>
    </row>
    <row r="356" spans="1:14" ht="15.75" outlineLevel="1">
      <c r="A356" s="75" t="s">
        <v>411</v>
      </c>
      <c r="B356" s="56" t="s">
        <v>428</v>
      </c>
      <c r="C356" s="25" t="s">
        <v>314</v>
      </c>
      <c r="D356" s="33">
        <v>1</v>
      </c>
      <c r="E356" s="81">
        <v>0</v>
      </c>
      <c r="F356" s="80">
        <f t="shared" si="21"/>
        <v>100</v>
      </c>
      <c r="G356" s="15">
        <f t="shared" si="20"/>
        <v>0</v>
      </c>
      <c r="H356" s="21">
        <v>100</v>
      </c>
      <c r="I356" s="21">
        <v>0</v>
      </c>
      <c r="J356" s="9"/>
      <c r="K356" s="9"/>
      <c r="L356" s="9"/>
      <c r="M356" s="9"/>
      <c r="N356" s="13"/>
    </row>
    <row r="357" spans="1:14" ht="15.75" outlineLevel="1">
      <c r="A357" s="75" t="s">
        <v>412</v>
      </c>
      <c r="B357" s="56" t="s">
        <v>338</v>
      </c>
      <c r="C357" s="25" t="s">
        <v>314</v>
      </c>
      <c r="D357" s="33">
        <v>1</v>
      </c>
      <c r="E357" s="81">
        <v>1</v>
      </c>
      <c r="F357" s="80">
        <f t="shared" si="21"/>
        <v>79</v>
      </c>
      <c r="G357" s="15">
        <f t="shared" si="20"/>
        <v>79</v>
      </c>
      <c r="H357" s="21">
        <v>79</v>
      </c>
      <c r="I357" s="21">
        <v>79</v>
      </c>
      <c r="J357" s="9"/>
      <c r="K357" s="9"/>
      <c r="L357" s="9"/>
      <c r="M357" s="9"/>
      <c r="N357" s="13"/>
    </row>
    <row r="358" spans="1:14" ht="15.75" outlineLevel="1">
      <c r="A358" s="75" t="s">
        <v>413</v>
      </c>
      <c r="B358" s="56" t="s">
        <v>339</v>
      </c>
      <c r="C358" s="25" t="s">
        <v>314</v>
      </c>
      <c r="D358" s="33">
        <v>10</v>
      </c>
      <c r="E358" s="81">
        <v>36</v>
      </c>
      <c r="F358" s="80">
        <f t="shared" si="21"/>
        <v>2601.392</v>
      </c>
      <c r="G358" s="15">
        <f t="shared" si="20"/>
        <v>2601.392</v>
      </c>
      <c r="H358" s="21">
        <v>2601.392</v>
      </c>
      <c r="I358" s="21">
        <v>2601.392</v>
      </c>
      <c r="J358" s="9"/>
      <c r="K358" s="9"/>
      <c r="L358" s="9"/>
      <c r="M358" s="9"/>
      <c r="N358" s="13"/>
    </row>
    <row r="359" spans="1:14" ht="15.75" outlineLevel="1">
      <c r="A359" s="75" t="s">
        <v>414</v>
      </c>
      <c r="B359" s="56" t="s">
        <v>340</v>
      </c>
      <c r="C359" s="25" t="s">
        <v>314</v>
      </c>
      <c r="D359" s="33">
        <v>20</v>
      </c>
      <c r="E359" s="81">
        <v>35</v>
      </c>
      <c r="F359" s="80">
        <f t="shared" si="21"/>
        <v>1854.168</v>
      </c>
      <c r="G359" s="15">
        <f t="shared" si="20"/>
        <v>1854.168</v>
      </c>
      <c r="H359" s="21">
        <v>1854.168</v>
      </c>
      <c r="I359" s="21">
        <v>1854.168</v>
      </c>
      <c r="J359" s="9"/>
      <c r="K359" s="9"/>
      <c r="L359" s="9"/>
      <c r="M359" s="9"/>
      <c r="N359" s="13"/>
    </row>
    <row r="360" spans="1:14" ht="15.75" outlineLevel="1">
      <c r="A360" s="75" t="s">
        <v>415</v>
      </c>
      <c r="B360" s="56" t="s">
        <v>341</v>
      </c>
      <c r="C360" s="25" t="s">
        <v>314</v>
      </c>
      <c r="D360" s="33">
        <v>9</v>
      </c>
      <c r="E360" s="81">
        <v>9</v>
      </c>
      <c r="F360" s="80">
        <f t="shared" si="21"/>
        <v>322.92</v>
      </c>
      <c r="G360" s="15">
        <f t="shared" si="20"/>
        <v>301.5</v>
      </c>
      <c r="H360" s="21">
        <v>322.92</v>
      </c>
      <c r="I360" s="21">
        <v>301.5</v>
      </c>
      <c r="J360" s="9"/>
      <c r="K360" s="9"/>
      <c r="L360" s="9"/>
      <c r="M360" s="9"/>
      <c r="N360" s="13"/>
    </row>
    <row r="361" spans="1:14" ht="15.75" outlineLevel="1">
      <c r="A361" s="75" t="s">
        <v>416</v>
      </c>
      <c r="B361" s="56" t="s">
        <v>342</v>
      </c>
      <c r="C361" s="25" t="s">
        <v>314</v>
      </c>
      <c r="D361" s="33">
        <v>5</v>
      </c>
      <c r="E361" s="81">
        <v>5</v>
      </c>
      <c r="F361" s="80">
        <f t="shared" si="21"/>
        <v>925</v>
      </c>
      <c r="G361" s="15">
        <f t="shared" si="20"/>
        <v>925</v>
      </c>
      <c r="H361" s="21">
        <v>925</v>
      </c>
      <c r="I361" s="21">
        <v>925</v>
      </c>
      <c r="J361" s="9"/>
      <c r="K361" s="9"/>
      <c r="L361" s="9"/>
      <c r="M361" s="9"/>
      <c r="N361" s="13"/>
    </row>
    <row r="362" spans="1:14" ht="15.75" outlineLevel="1">
      <c r="A362" s="75" t="s">
        <v>417</v>
      </c>
      <c r="B362" s="56" t="s">
        <v>343</v>
      </c>
      <c r="C362" s="25" t="s">
        <v>314</v>
      </c>
      <c r="D362" s="33">
        <v>1</v>
      </c>
      <c r="E362" s="81">
        <v>1</v>
      </c>
      <c r="F362" s="80">
        <f t="shared" si="21"/>
        <v>744.1469999999999</v>
      </c>
      <c r="G362" s="15">
        <f t="shared" si="20"/>
        <v>744.1469999999999</v>
      </c>
      <c r="H362" s="21">
        <v>744.1469999999999</v>
      </c>
      <c r="I362" s="21">
        <v>744.1469999999999</v>
      </c>
      <c r="J362" s="9"/>
      <c r="K362" s="9"/>
      <c r="L362" s="9"/>
      <c r="M362" s="9"/>
      <c r="N362" s="13"/>
    </row>
    <row r="363" spans="1:14" ht="15.75" outlineLevel="1">
      <c r="A363" s="75" t="s">
        <v>418</v>
      </c>
      <c r="B363" s="56" t="s">
        <v>344</v>
      </c>
      <c r="C363" s="25" t="s">
        <v>314</v>
      </c>
      <c r="D363" s="33">
        <v>1</v>
      </c>
      <c r="E363" s="81">
        <v>1</v>
      </c>
      <c r="F363" s="80">
        <f t="shared" si="21"/>
        <v>607.125</v>
      </c>
      <c r="G363" s="15">
        <f t="shared" si="20"/>
        <v>607.125</v>
      </c>
      <c r="H363" s="21">
        <v>607.125</v>
      </c>
      <c r="I363" s="21">
        <v>607.125</v>
      </c>
      <c r="J363" s="9"/>
      <c r="K363" s="9"/>
      <c r="L363" s="9"/>
      <c r="M363" s="9"/>
      <c r="N363" s="13"/>
    </row>
    <row r="364" spans="1:14" ht="15.75" outlineLevel="1">
      <c r="A364" s="75" t="s">
        <v>419</v>
      </c>
      <c r="B364" s="56" t="s">
        <v>345</v>
      </c>
      <c r="C364" s="25" t="s">
        <v>314</v>
      </c>
      <c r="D364" s="33">
        <v>1</v>
      </c>
      <c r="E364" s="81">
        <v>1</v>
      </c>
      <c r="F364" s="80">
        <f t="shared" si="21"/>
        <v>114.14699999999999</v>
      </c>
      <c r="G364" s="15">
        <f aca="true" t="shared" si="22" ref="G364:G376">I364+K364+M364</f>
        <v>114.147</v>
      </c>
      <c r="H364" s="21">
        <v>114.14699999999999</v>
      </c>
      <c r="I364" s="21">
        <v>114.147</v>
      </c>
      <c r="J364" s="9"/>
      <c r="K364" s="9"/>
      <c r="L364" s="9"/>
      <c r="M364" s="9"/>
      <c r="N364" s="13"/>
    </row>
    <row r="365" spans="1:14" ht="15.75" outlineLevel="1">
      <c r="A365" s="75" t="s">
        <v>420</v>
      </c>
      <c r="B365" s="56" t="s">
        <v>346</v>
      </c>
      <c r="C365" s="25" t="s">
        <v>314</v>
      </c>
      <c r="D365" s="33">
        <v>1</v>
      </c>
      <c r="E365" s="81">
        <v>0</v>
      </c>
      <c r="F365" s="80">
        <f t="shared" si="21"/>
        <v>3035.475</v>
      </c>
      <c r="G365" s="15">
        <f t="shared" si="22"/>
        <v>0</v>
      </c>
      <c r="H365" s="21">
        <v>3035.475</v>
      </c>
      <c r="I365" s="21">
        <v>0</v>
      </c>
      <c r="J365" s="9"/>
      <c r="K365" s="9"/>
      <c r="L365" s="9"/>
      <c r="M365" s="9"/>
      <c r="N365" s="13"/>
    </row>
    <row r="366" spans="1:14" ht="15.75" outlineLevel="1">
      <c r="A366" s="75" t="s">
        <v>421</v>
      </c>
      <c r="B366" s="56" t="s">
        <v>347</v>
      </c>
      <c r="C366" s="25" t="s">
        <v>314</v>
      </c>
      <c r="D366" s="33">
        <v>2</v>
      </c>
      <c r="E366" s="33">
        <v>2</v>
      </c>
      <c r="F366" s="80">
        <f t="shared" si="21"/>
        <v>86.01786</v>
      </c>
      <c r="G366" s="15">
        <f t="shared" si="22"/>
        <v>70</v>
      </c>
      <c r="H366" s="21">
        <v>86.01786</v>
      </c>
      <c r="I366" s="21">
        <v>70</v>
      </c>
      <c r="J366" s="9"/>
      <c r="K366" s="9"/>
      <c r="L366" s="9"/>
      <c r="M366" s="9"/>
      <c r="N366" s="13"/>
    </row>
    <row r="367" spans="1:14" ht="78.75" outlineLevel="1">
      <c r="A367" s="75" t="s">
        <v>422</v>
      </c>
      <c r="B367" s="56" t="s">
        <v>348</v>
      </c>
      <c r="C367" s="25" t="s">
        <v>314</v>
      </c>
      <c r="D367" s="33">
        <v>15</v>
      </c>
      <c r="E367" s="81">
        <v>0</v>
      </c>
      <c r="F367" s="80">
        <f t="shared" si="21"/>
        <v>8112</v>
      </c>
      <c r="G367" s="15">
        <f t="shared" si="22"/>
        <v>0</v>
      </c>
      <c r="H367" s="21">
        <v>8112</v>
      </c>
      <c r="I367" s="21">
        <v>0</v>
      </c>
      <c r="J367" s="9"/>
      <c r="K367" s="9"/>
      <c r="L367" s="9"/>
      <c r="M367" s="9"/>
      <c r="N367" s="13"/>
    </row>
    <row r="368" spans="1:14" ht="15.75" outlineLevel="1">
      <c r="A368" s="75" t="s">
        <v>423</v>
      </c>
      <c r="B368" s="56" t="s">
        <v>349</v>
      </c>
      <c r="C368" s="25" t="s">
        <v>314</v>
      </c>
      <c r="D368" s="33">
        <v>5</v>
      </c>
      <c r="E368" s="81">
        <v>0</v>
      </c>
      <c r="F368" s="80">
        <f t="shared" si="21"/>
        <v>121.53125</v>
      </c>
      <c r="G368" s="15">
        <f t="shared" si="22"/>
        <v>0</v>
      </c>
      <c r="H368" s="21">
        <v>121.53125</v>
      </c>
      <c r="I368" s="21">
        <v>0</v>
      </c>
      <c r="J368" s="9"/>
      <c r="K368" s="9"/>
      <c r="L368" s="9"/>
      <c r="M368" s="9"/>
      <c r="N368" s="13"/>
    </row>
    <row r="369" spans="1:14" ht="15.75" outlineLevel="1">
      <c r="A369" s="75" t="s">
        <v>424</v>
      </c>
      <c r="B369" s="56" t="s">
        <v>350</v>
      </c>
      <c r="C369" s="25" t="s">
        <v>314</v>
      </c>
      <c r="D369" s="33">
        <v>1</v>
      </c>
      <c r="E369" s="81">
        <v>0</v>
      </c>
      <c r="F369" s="80">
        <f t="shared" si="21"/>
        <v>26.63304</v>
      </c>
      <c r="G369" s="15">
        <f t="shared" si="22"/>
        <v>0</v>
      </c>
      <c r="H369" s="21">
        <v>26.63304</v>
      </c>
      <c r="I369" s="21">
        <v>0</v>
      </c>
      <c r="J369" s="9"/>
      <c r="K369" s="9"/>
      <c r="L369" s="9"/>
      <c r="M369" s="9"/>
      <c r="N369" s="13"/>
    </row>
    <row r="370" spans="1:14" ht="15.75" outlineLevel="1">
      <c r="A370" s="75" t="s">
        <v>425</v>
      </c>
      <c r="B370" s="56" t="s">
        <v>351</v>
      </c>
      <c r="C370" s="25" t="s">
        <v>314</v>
      </c>
      <c r="D370" s="33">
        <v>1</v>
      </c>
      <c r="E370" s="81">
        <v>1</v>
      </c>
      <c r="F370" s="80">
        <f t="shared" si="21"/>
        <v>25.82411</v>
      </c>
      <c r="G370" s="15">
        <f t="shared" si="22"/>
        <v>25.824</v>
      </c>
      <c r="H370" s="21">
        <v>25.82411</v>
      </c>
      <c r="I370" s="21">
        <v>25.824</v>
      </c>
      <c r="J370" s="9"/>
      <c r="K370" s="9"/>
      <c r="L370" s="9"/>
      <c r="M370" s="9"/>
      <c r="N370" s="13"/>
    </row>
    <row r="371" spans="1:14" ht="15.75" outlineLevel="1">
      <c r="A371" s="75" t="s">
        <v>426</v>
      </c>
      <c r="B371" s="56" t="s">
        <v>352</v>
      </c>
      <c r="C371" s="25" t="s">
        <v>314</v>
      </c>
      <c r="D371" s="33">
        <v>1</v>
      </c>
      <c r="E371" s="81">
        <v>0</v>
      </c>
      <c r="F371" s="80">
        <f t="shared" si="21"/>
        <v>25.75893</v>
      </c>
      <c r="G371" s="15">
        <f t="shared" si="22"/>
        <v>0</v>
      </c>
      <c r="H371" s="21">
        <v>25.75893</v>
      </c>
      <c r="I371" s="21">
        <v>0</v>
      </c>
      <c r="J371" s="9"/>
      <c r="K371" s="9"/>
      <c r="L371" s="9"/>
      <c r="M371" s="9"/>
      <c r="N371" s="13"/>
    </row>
    <row r="372" spans="1:14" ht="15.75" outlineLevel="1">
      <c r="A372" s="75" t="s">
        <v>427</v>
      </c>
      <c r="B372" s="56" t="s">
        <v>353</v>
      </c>
      <c r="C372" s="25" t="s">
        <v>314</v>
      </c>
      <c r="D372" s="33">
        <v>10</v>
      </c>
      <c r="E372" s="81">
        <v>10</v>
      </c>
      <c r="F372" s="80">
        <f t="shared" si="21"/>
        <v>5.6</v>
      </c>
      <c r="G372" s="15">
        <f t="shared" si="22"/>
        <v>5</v>
      </c>
      <c r="H372" s="21">
        <v>5.6</v>
      </c>
      <c r="I372" s="21">
        <v>5</v>
      </c>
      <c r="J372" s="9"/>
      <c r="K372" s="9"/>
      <c r="L372" s="9"/>
      <c r="M372" s="9"/>
      <c r="N372" s="13"/>
    </row>
    <row r="373" spans="1:14" ht="15.75" outlineLevel="1">
      <c r="A373" s="75" t="s">
        <v>690</v>
      </c>
      <c r="B373" s="69" t="s">
        <v>685</v>
      </c>
      <c r="C373" s="25" t="s">
        <v>314</v>
      </c>
      <c r="D373" s="33"/>
      <c r="E373" s="81">
        <v>2</v>
      </c>
      <c r="F373" s="80"/>
      <c r="G373" s="15">
        <f t="shared" si="22"/>
        <v>581.3273</v>
      </c>
      <c r="H373" s="21"/>
      <c r="I373" s="21">
        <v>581.3273</v>
      </c>
      <c r="J373" s="9"/>
      <c r="K373" s="9"/>
      <c r="L373" s="9"/>
      <c r="M373" s="9"/>
      <c r="N373" s="13"/>
    </row>
    <row r="374" spans="1:14" ht="15.75" outlineLevel="1">
      <c r="A374" s="75" t="s">
        <v>691</v>
      </c>
      <c r="B374" s="69" t="s">
        <v>686</v>
      </c>
      <c r="C374" s="25" t="s">
        <v>314</v>
      </c>
      <c r="D374" s="33"/>
      <c r="E374" s="81">
        <v>3</v>
      </c>
      <c r="F374" s="80"/>
      <c r="G374" s="15">
        <f t="shared" si="22"/>
        <v>119.019</v>
      </c>
      <c r="H374" s="21"/>
      <c r="I374" s="21">
        <v>119.019</v>
      </c>
      <c r="J374" s="9"/>
      <c r="K374" s="9"/>
      <c r="L374" s="9"/>
      <c r="M374" s="9"/>
      <c r="N374" s="13"/>
    </row>
    <row r="375" spans="1:14" ht="31.5" outlineLevel="1">
      <c r="A375" s="75" t="s">
        <v>692</v>
      </c>
      <c r="B375" s="69" t="s">
        <v>687</v>
      </c>
      <c r="C375" s="25" t="s">
        <v>314</v>
      </c>
      <c r="D375" s="33"/>
      <c r="E375" s="81">
        <v>3</v>
      </c>
      <c r="F375" s="80"/>
      <c r="G375" s="15">
        <f t="shared" si="22"/>
        <v>296.919</v>
      </c>
      <c r="H375" s="21"/>
      <c r="I375" s="21">
        <v>296.919</v>
      </c>
      <c r="J375" s="9"/>
      <c r="K375" s="9"/>
      <c r="L375" s="9"/>
      <c r="M375" s="9"/>
      <c r="N375" s="13"/>
    </row>
    <row r="376" spans="1:14" ht="31.5" outlineLevel="1">
      <c r="A376" s="75" t="s">
        <v>693</v>
      </c>
      <c r="B376" s="56" t="s">
        <v>688</v>
      </c>
      <c r="C376" s="25" t="s">
        <v>314</v>
      </c>
      <c r="D376" s="33"/>
      <c r="E376" s="81">
        <v>2</v>
      </c>
      <c r="F376" s="80"/>
      <c r="G376" s="15">
        <f t="shared" si="22"/>
        <v>45.8</v>
      </c>
      <c r="H376" s="21"/>
      <c r="I376" s="21">
        <v>45.8</v>
      </c>
      <c r="J376" s="9"/>
      <c r="K376" s="9"/>
      <c r="L376" s="9"/>
      <c r="M376" s="9"/>
      <c r="N376" s="13"/>
    </row>
    <row r="377" spans="1:14" ht="15.75" outlineLevel="1">
      <c r="A377" s="75" t="s">
        <v>694</v>
      </c>
      <c r="B377" s="56" t="s">
        <v>689</v>
      </c>
      <c r="C377" s="25" t="s">
        <v>314</v>
      </c>
      <c r="D377" s="33"/>
      <c r="E377" s="81">
        <v>3</v>
      </c>
      <c r="F377" s="80"/>
      <c r="G377" s="15">
        <f>I377+K377+M377</f>
        <v>1500</v>
      </c>
      <c r="H377" s="21"/>
      <c r="I377" s="21">
        <v>1500</v>
      </c>
      <c r="J377" s="9"/>
      <c r="K377" s="9"/>
      <c r="L377" s="9"/>
      <c r="M377" s="9"/>
      <c r="N377" s="13"/>
    </row>
    <row r="378" spans="1:14" ht="36.75" customHeight="1" thickBot="1">
      <c r="A378" s="77">
        <v>35</v>
      </c>
      <c r="B378" s="78" t="s">
        <v>27</v>
      </c>
      <c r="C378" s="27"/>
      <c r="D378" s="30"/>
      <c r="E378" s="84"/>
      <c r="F378" s="31">
        <f>H378+J378+L378</f>
        <v>562178.5883703893</v>
      </c>
      <c r="G378" s="29">
        <f>I378+K378+M378</f>
        <v>580019.58426</v>
      </c>
      <c r="H378" s="93">
        <v>562178.5883703893</v>
      </c>
      <c r="I378" s="93">
        <f>580019584.26/1000</f>
        <v>580019.58426</v>
      </c>
      <c r="J378" s="94"/>
      <c r="K378" s="94"/>
      <c r="L378" s="94"/>
      <c r="M378" s="94"/>
      <c r="N378" s="95"/>
    </row>
    <row r="380" spans="2:13" ht="18.75">
      <c r="B380" s="11"/>
      <c r="C380" s="6"/>
      <c r="D380" s="6"/>
      <c r="E380" s="6"/>
      <c r="F380" s="5"/>
      <c r="G380" s="5"/>
      <c r="H380" s="5"/>
      <c r="I380" s="5"/>
      <c r="J380" s="5"/>
      <c r="K380" s="5"/>
      <c r="L380" s="11"/>
      <c r="M380" s="11"/>
    </row>
    <row r="381" spans="2:13" ht="13.5" customHeight="1">
      <c r="B381" s="11"/>
      <c r="C381" s="6"/>
      <c r="D381" s="6"/>
      <c r="E381" s="6"/>
      <c r="F381" s="5"/>
      <c r="G381" s="5"/>
      <c r="H381" s="5"/>
      <c r="I381" s="5"/>
      <c r="J381" s="5"/>
      <c r="K381" s="5"/>
      <c r="L381" s="12"/>
      <c r="M381" s="12"/>
    </row>
    <row r="382" spans="2:13" ht="18.75">
      <c r="B382" s="11"/>
      <c r="C382" s="6"/>
      <c r="D382" s="6"/>
      <c r="E382" s="6"/>
      <c r="F382" s="5"/>
      <c r="G382" s="5"/>
      <c r="H382" s="5"/>
      <c r="I382" s="5"/>
      <c r="J382" s="5"/>
      <c r="K382" s="5"/>
      <c r="L382" s="11"/>
      <c r="M382" s="11"/>
    </row>
    <row r="383" spans="2:13" ht="13.5" customHeight="1">
      <c r="B383" s="11"/>
      <c r="C383" s="6"/>
      <c r="D383" s="6"/>
      <c r="E383" s="6"/>
      <c r="F383" s="5"/>
      <c r="G383" s="5"/>
      <c r="H383" s="5"/>
      <c r="I383" s="5"/>
      <c r="J383" s="5"/>
      <c r="K383" s="5"/>
      <c r="L383" s="11"/>
      <c r="M383" s="11"/>
    </row>
    <row r="384" spans="2:13" ht="18.75">
      <c r="B384" s="18"/>
      <c r="C384" s="6"/>
      <c r="D384" s="6"/>
      <c r="E384" s="6"/>
      <c r="F384" s="5"/>
      <c r="G384" s="5"/>
      <c r="H384" s="5"/>
      <c r="I384" s="5"/>
      <c r="J384" s="5"/>
      <c r="K384" s="5"/>
      <c r="L384" s="11"/>
      <c r="M384" s="11"/>
    </row>
    <row r="385" spans="2:13" ht="13.5" customHeight="1">
      <c r="B385" s="11"/>
      <c r="C385" s="6"/>
      <c r="D385" s="6"/>
      <c r="E385" s="6"/>
      <c r="F385" s="5"/>
      <c r="G385" s="5"/>
      <c r="H385" s="5"/>
      <c r="I385" s="5"/>
      <c r="J385" s="5"/>
      <c r="K385" s="5"/>
      <c r="L385" s="11"/>
      <c r="M385" s="11"/>
    </row>
    <row r="386" spans="2:13" ht="18.75">
      <c r="B386" s="11"/>
      <c r="C386" s="6"/>
      <c r="D386" s="6"/>
      <c r="E386" s="6"/>
      <c r="F386" s="5"/>
      <c r="G386" s="5"/>
      <c r="H386" s="5"/>
      <c r="I386" s="5"/>
      <c r="J386" s="5"/>
      <c r="K386" s="5"/>
      <c r="L386" s="11"/>
      <c r="M386" s="11"/>
    </row>
    <row r="387" spans="2:13" ht="13.5" customHeight="1">
      <c r="B387" s="11"/>
      <c r="C387" s="6"/>
      <c r="D387" s="6"/>
      <c r="E387" s="6"/>
      <c r="F387" s="5"/>
      <c r="G387" s="5"/>
      <c r="H387" s="5"/>
      <c r="I387" s="5"/>
      <c r="J387" s="5"/>
      <c r="K387" s="5"/>
      <c r="L387" s="11"/>
      <c r="M387" s="11"/>
    </row>
    <row r="388" spans="2:13" ht="18.75">
      <c r="B388" s="11"/>
      <c r="C388" s="6"/>
      <c r="D388" s="6"/>
      <c r="E388" s="6"/>
      <c r="F388" s="5"/>
      <c r="G388" s="5"/>
      <c r="H388" s="5"/>
      <c r="I388" s="5"/>
      <c r="J388" s="5"/>
      <c r="K388" s="5"/>
      <c r="L388" s="11"/>
      <c r="M388" s="11"/>
    </row>
  </sheetData>
  <sheetProtection/>
  <mergeCells count="180">
    <mergeCell ref="L107:L115"/>
    <mergeCell ref="K122:K124"/>
    <mergeCell ref="M122:M124"/>
    <mergeCell ref="M107:M115"/>
    <mergeCell ref="N107:N115"/>
    <mergeCell ref="F107:F115"/>
    <mergeCell ref="G107:G115"/>
    <mergeCell ref="H107:H115"/>
    <mergeCell ref="I107:I115"/>
    <mergeCell ref="J107:J115"/>
    <mergeCell ref="K107:K115"/>
    <mergeCell ref="K132:K139"/>
    <mergeCell ref="M132:M139"/>
    <mergeCell ref="K1:N1"/>
    <mergeCell ref="B8:N8"/>
    <mergeCell ref="K125:K131"/>
    <mergeCell ref="M125:M131"/>
    <mergeCell ref="G132:G139"/>
    <mergeCell ref="I132:I139"/>
    <mergeCell ref="G122:G124"/>
    <mergeCell ref="I122:I124"/>
    <mergeCell ref="G142:G146"/>
    <mergeCell ref="I142:I146"/>
    <mergeCell ref="K142:K146"/>
    <mergeCell ref="M142:M146"/>
    <mergeCell ref="G125:G131"/>
    <mergeCell ref="I125:I131"/>
    <mergeCell ref="G140:G141"/>
    <mergeCell ref="I140:I141"/>
    <mergeCell ref="K140:K141"/>
    <mergeCell ref="M140:M141"/>
    <mergeCell ref="F174:F177"/>
    <mergeCell ref="H174:H177"/>
    <mergeCell ref="J174:J177"/>
    <mergeCell ref="L174:L177"/>
    <mergeCell ref="N174:N177"/>
    <mergeCell ref="I35:I36"/>
    <mergeCell ref="G35:G36"/>
    <mergeCell ref="K35:K36"/>
    <mergeCell ref="M35:M36"/>
    <mergeCell ref="G117:G118"/>
    <mergeCell ref="F142:F146"/>
    <mergeCell ref="H142:H146"/>
    <mergeCell ref="J142:J146"/>
    <mergeCell ref="L142:L146"/>
    <mergeCell ref="N142:N146"/>
    <mergeCell ref="F167:F171"/>
    <mergeCell ref="H167:H171"/>
    <mergeCell ref="J167:J171"/>
    <mergeCell ref="L167:L171"/>
    <mergeCell ref="N167:N171"/>
    <mergeCell ref="F132:F139"/>
    <mergeCell ref="H132:H139"/>
    <mergeCell ref="J132:J139"/>
    <mergeCell ref="L132:L139"/>
    <mergeCell ref="N132:N139"/>
    <mergeCell ref="F140:F141"/>
    <mergeCell ref="H140:H141"/>
    <mergeCell ref="J140:J141"/>
    <mergeCell ref="L140:L141"/>
    <mergeCell ref="N140:N141"/>
    <mergeCell ref="F122:F124"/>
    <mergeCell ref="H122:H124"/>
    <mergeCell ref="J122:J124"/>
    <mergeCell ref="L122:L124"/>
    <mergeCell ref="N122:N124"/>
    <mergeCell ref="F125:F131"/>
    <mergeCell ref="H125:H131"/>
    <mergeCell ref="J125:J131"/>
    <mergeCell ref="L125:L131"/>
    <mergeCell ref="N125:N131"/>
    <mergeCell ref="F117:F118"/>
    <mergeCell ref="H117:H118"/>
    <mergeCell ref="J117:J118"/>
    <mergeCell ref="L117:L118"/>
    <mergeCell ref="N117:N118"/>
    <mergeCell ref="I117:I118"/>
    <mergeCell ref="K117:K118"/>
    <mergeCell ref="M117:M118"/>
    <mergeCell ref="F95:F97"/>
    <mergeCell ref="H95:H97"/>
    <mergeCell ref="J95:J97"/>
    <mergeCell ref="L95:L97"/>
    <mergeCell ref="N95:N97"/>
    <mergeCell ref="F98:F106"/>
    <mergeCell ref="H98:H106"/>
    <mergeCell ref="J98:J106"/>
    <mergeCell ref="L98:L106"/>
    <mergeCell ref="N98:N106"/>
    <mergeCell ref="F82:F87"/>
    <mergeCell ref="H82:H87"/>
    <mergeCell ref="J82:J87"/>
    <mergeCell ref="L82:L87"/>
    <mergeCell ref="N82:N87"/>
    <mergeCell ref="F88:F94"/>
    <mergeCell ref="H88:H94"/>
    <mergeCell ref="J88:J94"/>
    <mergeCell ref="L88:L94"/>
    <mergeCell ref="N88:N94"/>
    <mergeCell ref="N37:N40"/>
    <mergeCell ref="F68:F80"/>
    <mergeCell ref="H68:H80"/>
    <mergeCell ref="J68:J80"/>
    <mergeCell ref="L68:L80"/>
    <mergeCell ref="N68:N80"/>
    <mergeCell ref="I68:I80"/>
    <mergeCell ref="K68:K80"/>
    <mergeCell ref="M68:M80"/>
    <mergeCell ref="A42:A43"/>
    <mergeCell ref="A44:A45"/>
    <mergeCell ref="A46:A47"/>
    <mergeCell ref="A48:A49"/>
    <mergeCell ref="J35:J36"/>
    <mergeCell ref="L35:L36"/>
    <mergeCell ref="J37:J40"/>
    <mergeCell ref="L37:L40"/>
    <mergeCell ref="N35:N36"/>
    <mergeCell ref="F37:F40"/>
    <mergeCell ref="A50:A51"/>
    <mergeCell ref="H10:N10"/>
    <mergeCell ref="A10:A11"/>
    <mergeCell ref="B10:B11"/>
    <mergeCell ref="C10:C11"/>
    <mergeCell ref="F35:F36"/>
    <mergeCell ref="H35:H36"/>
    <mergeCell ref="H37:H40"/>
    <mergeCell ref="A151:A152"/>
    <mergeCell ref="A153:A154"/>
    <mergeCell ref="A52:A53"/>
    <mergeCell ref="A54:A55"/>
    <mergeCell ref="A56:A57"/>
    <mergeCell ref="A58:A59"/>
    <mergeCell ref="A61:A62"/>
    <mergeCell ref="A63:A64"/>
    <mergeCell ref="A172:A173"/>
    <mergeCell ref="A180:A181"/>
    <mergeCell ref="A159:A160"/>
    <mergeCell ref="A161:A162"/>
    <mergeCell ref="A163:A164"/>
    <mergeCell ref="A165:A166"/>
    <mergeCell ref="D10:E11"/>
    <mergeCell ref="F10:G11"/>
    <mergeCell ref="H11:I11"/>
    <mergeCell ref="J11:K11"/>
    <mergeCell ref="L11:M11"/>
    <mergeCell ref="A155:A156"/>
    <mergeCell ref="A65:A66"/>
    <mergeCell ref="A120:A121"/>
    <mergeCell ref="A147:A148"/>
    <mergeCell ref="A149:A150"/>
    <mergeCell ref="G167:G171"/>
    <mergeCell ref="I167:I171"/>
    <mergeCell ref="K167:K171"/>
    <mergeCell ref="M167:M171"/>
    <mergeCell ref="G174:G177"/>
    <mergeCell ref="I174:I177"/>
    <mergeCell ref="K174:K177"/>
    <mergeCell ref="M174:M177"/>
    <mergeCell ref="E174:E177"/>
    <mergeCell ref="G37:G40"/>
    <mergeCell ref="I37:I40"/>
    <mergeCell ref="K37:K40"/>
    <mergeCell ref="M37:M40"/>
    <mergeCell ref="G68:G80"/>
    <mergeCell ref="G82:G87"/>
    <mergeCell ref="I88:I94"/>
    <mergeCell ref="K88:K94"/>
    <mergeCell ref="M88:M94"/>
    <mergeCell ref="K82:K87"/>
    <mergeCell ref="I82:I87"/>
    <mergeCell ref="M82:M87"/>
    <mergeCell ref="M95:M97"/>
    <mergeCell ref="I95:I97"/>
    <mergeCell ref="K95:K97"/>
    <mergeCell ref="G98:G106"/>
    <mergeCell ref="I98:I106"/>
    <mergeCell ref="K98:K106"/>
    <mergeCell ref="M98:M106"/>
    <mergeCell ref="G88:G94"/>
    <mergeCell ref="G95:G97"/>
  </mergeCells>
  <printOptions horizontalCentered="1"/>
  <pageMargins left="0.31496062992125984" right="0.31496062992125984" top="0.3937007874015748" bottom="0.35433070866141736" header="0.31496062992125984" footer="0.1968503937007874"/>
  <pageSetup fitToHeight="20" horizontalDpi="600" verticalDpi="600" orientation="landscape" paperSize="9" scale="43" r:id="rId1"/>
  <headerFooter>
    <oddFooter>&amp;C&amp;P</oddFooter>
  </headerFooter>
  <rowBreaks count="1" manualBreakCount="1">
    <brk id="6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2" max="2" width="34.00390625" style="0" customWidth="1"/>
    <col min="3" max="3" width="22.140625" style="0" customWidth="1"/>
    <col min="4" max="4" width="17.7109375" style="0" customWidth="1"/>
    <col min="5" max="5" width="23.57421875" style="0" customWidth="1"/>
    <col min="7" max="7" width="67.8515625" style="0" customWidth="1"/>
  </cols>
  <sheetData>
    <row r="1" spans="1:256" ht="15.75">
      <c r="A1" s="2"/>
      <c r="B1" s="2"/>
      <c r="C1" s="3"/>
      <c r="D1" s="4"/>
      <c r="E1" s="4"/>
      <c r="F1" s="43"/>
      <c r="G1" s="44"/>
      <c r="H1" s="44"/>
      <c r="I1" s="174"/>
      <c r="J1" s="174"/>
      <c r="K1" s="175"/>
      <c r="L1" s="175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5.75">
      <c r="A2" s="45"/>
      <c r="B2" s="45"/>
      <c r="C2" s="45"/>
      <c r="D2" s="45"/>
      <c r="E2" s="46"/>
      <c r="F2" s="43"/>
      <c r="G2" s="44"/>
      <c r="H2" s="44"/>
      <c r="I2" s="47"/>
      <c r="J2" s="48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spans="1:256" ht="15">
      <c r="A3" s="45"/>
      <c r="B3" s="45"/>
      <c r="C3" s="45"/>
      <c r="D3" s="45"/>
      <c r="E3" s="45"/>
      <c r="F3" s="45"/>
      <c r="G3" s="47"/>
      <c r="H3" s="47"/>
      <c r="I3" s="47"/>
      <c r="J3" s="47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</row>
    <row r="4" spans="1:256" ht="47.25">
      <c r="A4" s="45"/>
      <c r="B4" s="49" t="s">
        <v>677</v>
      </c>
      <c r="C4" s="49" t="s">
        <v>683</v>
      </c>
      <c r="D4" s="49" t="s">
        <v>678</v>
      </c>
      <c r="E4" s="49" t="s">
        <v>684</v>
      </c>
      <c r="F4" s="45"/>
      <c r="G4" s="50"/>
      <c r="H4" s="50"/>
      <c r="I4" s="50"/>
      <c r="J4" s="50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</row>
    <row r="5" spans="2:10" s="45" customFormat="1" ht="94.5">
      <c r="B5" s="51" t="s">
        <v>679</v>
      </c>
      <c r="C5" s="119">
        <v>0.655</v>
      </c>
      <c r="D5" s="119" t="s">
        <v>680</v>
      </c>
      <c r="E5" s="119">
        <v>0.655</v>
      </c>
      <c r="G5" s="52"/>
      <c r="H5" s="53"/>
      <c r="I5" s="53"/>
      <c r="J5" s="54"/>
    </row>
    <row r="6" spans="2:10" s="45" customFormat="1" ht="63">
      <c r="B6" s="51" t="s">
        <v>681</v>
      </c>
      <c r="C6" s="120">
        <v>0.1512</v>
      </c>
      <c r="D6" s="121">
        <v>0.1445</v>
      </c>
      <c r="E6" s="121">
        <v>0.1548</v>
      </c>
      <c r="G6" s="52"/>
      <c r="H6" s="55"/>
      <c r="I6" s="55"/>
      <c r="J6" s="55"/>
    </row>
    <row r="7" spans="2:10" s="45" customFormat="1" ht="63">
      <c r="B7" s="51" t="s">
        <v>682</v>
      </c>
      <c r="C7" s="122">
        <v>253</v>
      </c>
      <c r="D7" s="122">
        <v>1137</v>
      </c>
      <c r="E7" s="122">
        <v>239</v>
      </c>
      <c r="G7" s="52"/>
      <c r="H7" s="58"/>
      <c r="I7" s="58"/>
      <c r="J7" s="58"/>
    </row>
    <row r="8" spans="1:256" ht="15.75">
      <c r="A8" s="45"/>
      <c r="B8" s="59"/>
      <c r="C8" s="59"/>
      <c r="D8" s="59"/>
      <c r="E8" s="59"/>
      <c r="F8" s="45"/>
      <c r="G8" s="60"/>
      <c r="H8" s="60"/>
      <c r="I8" s="60"/>
      <c r="J8" s="60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ht="15">
      <c r="A9" s="45"/>
      <c r="B9" s="45"/>
      <c r="C9" s="45"/>
      <c r="D9" s="45"/>
      <c r="E9" s="45"/>
      <c r="F9" s="45"/>
      <c r="G9" s="47"/>
      <c r="H9" s="47"/>
      <c r="I9" s="47"/>
      <c r="J9" s="47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</row>
    <row r="10" spans="1:256" ht="15">
      <c r="A10" s="45"/>
      <c r="B10" s="62"/>
      <c r="C10" s="45"/>
      <c r="D10" s="45"/>
      <c r="E10" s="45"/>
      <c r="F10" s="45"/>
      <c r="G10" s="63"/>
      <c r="H10" s="47"/>
      <c r="I10" s="47"/>
      <c r="J10" s="47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</row>
    <row r="11" spans="1:256" ht="15">
      <c r="A11" s="45"/>
      <c r="B11" s="45"/>
      <c r="C11" s="45"/>
      <c r="D11" s="45"/>
      <c r="E11" s="45"/>
      <c r="F11" s="45"/>
      <c r="G11" s="47"/>
      <c r="H11" s="47"/>
      <c r="I11" s="47"/>
      <c r="J11" s="47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</row>
  </sheetData>
  <sheetProtection/>
  <mergeCells count="1">
    <mergeCell ref="I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nkozlova</dc:creator>
  <cp:keywords/>
  <dc:description/>
  <cp:lastModifiedBy>Темиржанова Эльмира</cp:lastModifiedBy>
  <cp:lastPrinted>2021-01-22T07:41:54Z</cp:lastPrinted>
  <dcterms:created xsi:type="dcterms:W3CDTF">2015-05-28T08:54:31Z</dcterms:created>
  <dcterms:modified xsi:type="dcterms:W3CDTF">2021-01-27T04:53:06Z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